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C:\Users\marco\OneDrive\Área de Trabalho\PMDA 2023\REFORMA UBS CAMACÃ\PROJETO BÁSICO - UBS CAMACÃ\"/>
    </mc:Choice>
  </mc:AlternateContent>
  <xr:revisionPtr revIDLastSave="0" documentId="13_ncr:1_{17E35C17-3C88-476D-A6D1-39875C2D940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AN ORÇ" sheetId="6" r:id="rId1"/>
    <sheet name="MM CALC" sheetId="21" r:id="rId2"/>
    <sheet name="CRON" sheetId="7" r:id="rId3"/>
  </sheets>
  <externalReferences>
    <externalReference r:id="rId4"/>
  </externalReferences>
  <definedNames>
    <definedName name="_xlnm._FilterDatabase" localSheetId="2" hidden="1">CRON!$A$7:$J$7</definedName>
    <definedName name="_xlnm._FilterDatabase" localSheetId="1" hidden="1">'MM CALC'!$A$7:$G$37</definedName>
    <definedName name="_xlnm._FilterDatabase" localSheetId="0" hidden="1">'PLAN ORÇ'!$A$10:$I$40</definedName>
    <definedName name="_xlnm.Print_Area" localSheetId="2">CRON!$A$1:$H$33</definedName>
    <definedName name="_xlnm.Print_Area" localSheetId="1">'MM CALC'!$A$1:$G$46</definedName>
    <definedName name="_xlnm.Print_Area" localSheetId="0">'PLAN ORÇ'!$A$1:$I$49</definedName>
    <definedName name="_xlnm.Database">TEXT([1]Dados!$G$29,"mm-aaaa")</definedName>
    <definedName name="Fonte" localSheetId="1">'MM CALC'!#REF!</definedName>
    <definedName name="Fonte">'PLAN ORÇ'!$I1</definedName>
    <definedName name="nao" localSheetId="1">#REF!</definedName>
    <definedName name="nao">#REF!</definedName>
    <definedName name="_xlnm.Print_Titles" localSheetId="1">'MM CALC'!$1:$8</definedName>
    <definedName name="_xlnm.Print_Titles" localSheetId="0">'PLAN ORÇ'!$1:$9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" i="6" l="1"/>
  <c r="I39" i="6"/>
  <c r="I40" i="6"/>
  <c r="I41" i="6"/>
  <c r="I37" i="6"/>
  <c r="I33" i="6"/>
  <c r="I35" i="6"/>
  <c r="I28" i="6"/>
  <c r="I29" i="6"/>
  <c r="I30" i="6"/>
  <c r="I27" i="6"/>
  <c r="I25" i="6"/>
  <c r="I22" i="6"/>
  <c r="I23" i="6"/>
  <c r="I21" i="6"/>
  <c r="I17" i="6"/>
  <c r="I18" i="6"/>
  <c r="I16" i="6"/>
  <c r="I13" i="6"/>
  <c r="K37" i="6"/>
  <c r="F22" i="21" l="1"/>
  <c r="F19" i="21"/>
  <c r="F18" i="21"/>
  <c r="F37" i="21"/>
  <c r="F14" i="21"/>
  <c r="H37" i="6"/>
  <c r="F37" i="6"/>
  <c r="E37" i="6"/>
  <c r="D37" i="6"/>
  <c r="C37" i="6"/>
  <c r="B37" i="6"/>
  <c r="A37" i="6"/>
  <c r="F38" i="21"/>
  <c r="F41" i="6" s="1"/>
  <c r="F30" i="21"/>
  <c r="F27" i="21"/>
  <c r="F25" i="21"/>
  <c r="F28" i="6" s="1"/>
  <c r="F24" i="21"/>
  <c r="F13" i="21"/>
  <c r="F10" i="21"/>
  <c r="C35" i="6"/>
  <c r="H41" i="6"/>
  <c r="A41" i="6"/>
  <c r="B41" i="6"/>
  <c r="C41" i="6"/>
  <c r="D41" i="6"/>
  <c r="E41" i="6"/>
  <c r="H28" i="6"/>
  <c r="H27" i="6"/>
  <c r="A28" i="6"/>
  <c r="B28" i="6"/>
  <c r="C28" i="6"/>
  <c r="D28" i="6"/>
  <c r="E28" i="6"/>
  <c r="B27" i="6"/>
  <c r="C27" i="6"/>
  <c r="D27" i="6"/>
  <c r="E27" i="6"/>
  <c r="A27" i="6"/>
  <c r="A29" i="6"/>
  <c r="F27" i="6" l="1"/>
  <c r="K41" i="6"/>
  <c r="K27" i="6"/>
  <c r="K28" i="6"/>
  <c r="A18" i="6" l="1"/>
  <c r="B18" i="6"/>
  <c r="C18" i="6"/>
  <c r="D18" i="6"/>
  <c r="E18" i="6"/>
  <c r="F18" i="6"/>
  <c r="H18" i="6"/>
  <c r="B29" i="6"/>
  <c r="C29" i="6"/>
  <c r="D29" i="6"/>
  <c r="E29" i="6"/>
  <c r="F29" i="6"/>
  <c r="H29" i="6"/>
  <c r="A26" i="6"/>
  <c r="D26" i="6"/>
  <c r="K29" i="6" l="1"/>
  <c r="K18" i="6"/>
  <c r="A24" i="6" l="1"/>
  <c r="D24" i="6"/>
  <c r="A25" i="6"/>
  <c r="B25" i="6"/>
  <c r="C25" i="6"/>
  <c r="D25" i="6"/>
  <c r="E25" i="6"/>
  <c r="H25" i="6"/>
  <c r="F34" i="6"/>
  <c r="I34" i="6" s="1"/>
  <c r="F25" i="6" l="1"/>
  <c r="F17" i="6"/>
  <c r="F16" i="6"/>
  <c r="A34" i="6"/>
  <c r="B34" i="6"/>
  <c r="C34" i="6"/>
  <c r="D34" i="6"/>
  <c r="E34" i="6"/>
  <c r="H34" i="6"/>
  <c r="A39" i="6"/>
  <c r="B39" i="6"/>
  <c r="C39" i="6"/>
  <c r="D39" i="6"/>
  <c r="E39" i="6"/>
  <c r="F39" i="6"/>
  <c r="H39" i="6"/>
  <c r="A35" i="6"/>
  <c r="B35" i="6"/>
  <c r="D35" i="6"/>
  <c r="E35" i="6"/>
  <c r="F35" i="6"/>
  <c r="H35" i="6"/>
  <c r="A14" i="6"/>
  <c r="D14" i="6"/>
  <c r="A15" i="6"/>
  <c r="D15" i="6"/>
  <c r="A16" i="6"/>
  <c r="B16" i="6"/>
  <c r="C16" i="6"/>
  <c r="D16" i="6"/>
  <c r="E16" i="6"/>
  <c r="H16" i="6"/>
  <c r="A17" i="6"/>
  <c r="B17" i="6"/>
  <c r="C17" i="6"/>
  <c r="D17" i="6"/>
  <c r="E17" i="6"/>
  <c r="H17" i="6"/>
  <c r="A19" i="6"/>
  <c r="D19" i="6"/>
  <c r="A20" i="6"/>
  <c r="D20" i="6"/>
  <c r="A21" i="6"/>
  <c r="B21" i="6"/>
  <c r="C21" i="6"/>
  <c r="D21" i="6"/>
  <c r="E21" i="6"/>
  <c r="H21" i="6"/>
  <c r="A22" i="6"/>
  <c r="B22" i="6"/>
  <c r="C22" i="6"/>
  <c r="D22" i="6"/>
  <c r="E22" i="6"/>
  <c r="H22" i="6"/>
  <c r="A23" i="6"/>
  <c r="B23" i="6"/>
  <c r="C23" i="6"/>
  <c r="D23" i="6"/>
  <c r="E23" i="6"/>
  <c r="H23" i="6"/>
  <c r="A30" i="6"/>
  <c r="B30" i="6"/>
  <c r="C30" i="6"/>
  <c r="D30" i="6"/>
  <c r="E30" i="6"/>
  <c r="H30" i="6"/>
  <c r="A31" i="6"/>
  <c r="D31" i="6"/>
  <c r="A32" i="6"/>
  <c r="B32" i="6"/>
  <c r="C32" i="6"/>
  <c r="D32" i="6"/>
  <c r="E32" i="6"/>
  <c r="H32" i="6"/>
  <c r="A33" i="6"/>
  <c r="B33" i="6"/>
  <c r="C33" i="6"/>
  <c r="D33" i="6"/>
  <c r="E33" i="6"/>
  <c r="H33" i="6"/>
  <c r="A36" i="6"/>
  <c r="D36" i="6"/>
  <c r="A38" i="6"/>
  <c r="B38" i="6"/>
  <c r="C38" i="6"/>
  <c r="D38" i="6"/>
  <c r="E38" i="6"/>
  <c r="F38" i="6"/>
  <c r="H38" i="6"/>
  <c r="A40" i="6"/>
  <c r="B40" i="6"/>
  <c r="C40" i="6"/>
  <c r="D40" i="6"/>
  <c r="E40" i="6"/>
  <c r="F40" i="6"/>
  <c r="H40" i="6"/>
  <c r="K34" i="6" l="1"/>
  <c r="K35" i="6"/>
  <c r="K39" i="6"/>
  <c r="K25" i="6"/>
  <c r="L24" i="6" s="1"/>
  <c r="I24" i="6"/>
  <c r="J24" i="6"/>
  <c r="I36" i="6"/>
  <c r="I15" i="6" l="1"/>
  <c r="F33" i="6" l="1"/>
  <c r="F22" i="6"/>
  <c r="F21" i="6"/>
  <c r="F30" i="6" l="1"/>
  <c r="I26" i="6" s="1"/>
  <c r="Q16" i="6"/>
  <c r="Q17" i="6"/>
  <c r="Q21" i="6"/>
  <c r="Q22" i="6"/>
  <c r="Q23" i="6"/>
  <c r="Q30" i="6"/>
  <c r="Q32" i="6"/>
  <c r="Q33" i="6"/>
  <c r="Q38" i="6"/>
  <c r="Q40" i="6"/>
  <c r="Q13" i="6"/>
  <c r="F32" i="6" l="1"/>
  <c r="I32" i="6" l="1"/>
  <c r="I31" i="6" s="1"/>
  <c r="K30" i="6"/>
  <c r="L26" i="6" s="1"/>
  <c r="J26" i="6"/>
  <c r="F20" i="21"/>
  <c r="F23" i="6" l="1"/>
  <c r="I20" i="6" s="1"/>
  <c r="I19" i="6" s="1"/>
  <c r="I14" i="6" s="1"/>
  <c r="K40" i="6"/>
  <c r="K33" i="6"/>
  <c r="K23" i="6"/>
  <c r="K21" i="6"/>
  <c r="A13" i="6"/>
  <c r="B13" i="6"/>
  <c r="C13" i="6"/>
  <c r="D13" i="6"/>
  <c r="E13" i="6"/>
  <c r="D12" i="6"/>
  <c r="A12" i="6"/>
  <c r="K22" i="6" l="1"/>
  <c r="L20" i="6" s="1"/>
  <c r="H13" i="6" l="1"/>
  <c r="A4" i="7" l="1"/>
  <c r="A5" i="7"/>
  <c r="H5" i="7"/>
  <c r="K38" i="6" l="1"/>
  <c r="L36" i="6" s="1"/>
  <c r="K32" i="6"/>
  <c r="L31" i="6" s="1"/>
  <c r="K16" i="6"/>
  <c r="A5" i="6"/>
  <c r="K17" i="6" l="1"/>
  <c r="L15" i="6" l="1"/>
  <c r="J31" i="6"/>
  <c r="J15" i="6" l="1"/>
  <c r="C11" i="7"/>
  <c r="J36" i="6" l="1"/>
  <c r="A10" i="7"/>
  <c r="A12" i="7"/>
  <c r="E4" i="6"/>
  <c r="J20" i="6" l="1"/>
  <c r="A8" i="7"/>
  <c r="C13" i="7" l="1"/>
  <c r="D11" i="7"/>
  <c r="E13" i="7" l="1"/>
  <c r="D13" i="7"/>
  <c r="E24" i="7" l="1"/>
  <c r="F13" i="6"/>
  <c r="K13" i="6" s="1"/>
  <c r="K42" i="6" s="1"/>
  <c r="A6" i="6"/>
  <c r="A6" i="7"/>
  <c r="C9" i="7" l="1"/>
  <c r="I12" i="6" l="1"/>
  <c r="I42" i="6" s="1"/>
  <c r="H11" i="7"/>
  <c r="D5" i="7" l="1"/>
  <c r="J12" i="6"/>
  <c r="J42" i="6" s="1"/>
  <c r="H13" i="7"/>
  <c r="C24" i="7" l="1"/>
  <c r="E12" i="7" l="1"/>
  <c r="E23" i="7" s="1"/>
  <c r="C12" i="7"/>
  <c r="D9" i="7"/>
  <c r="D24" i="7" s="1"/>
  <c r="D8" i="7" l="1"/>
  <c r="H9" i="7"/>
  <c r="H24" i="7"/>
  <c r="D10" i="7"/>
  <c r="H10" i="7" s="1"/>
  <c r="C10" i="7"/>
  <c r="D12" i="7"/>
  <c r="C8" i="7"/>
  <c r="C23" i="7" l="1"/>
  <c r="D23" i="7"/>
  <c r="H8" i="7"/>
  <c r="H12" i="7" l="1"/>
  <c r="I23" i="7" s="1"/>
  <c r="H23" i="7"/>
</calcChain>
</file>

<file path=xl/sharedStrings.xml><?xml version="1.0" encoding="utf-8"?>
<sst xmlns="http://schemas.openxmlformats.org/spreadsheetml/2006/main" count="187" uniqueCount="129">
  <si>
    <t>ITEM</t>
  </si>
  <si>
    <t>DESCRIÇÃO</t>
  </si>
  <si>
    <t>CÓDIGO</t>
  </si>
  <si>
    <t>DIRETA</t>
  </si>
  <si>
    <t>INDIRETA</t>
  </si>
  <si>
    <t>(    )</t>
  </si>
  <si>
    <t>UND.</t>
  </si>
  <si>
    <t>QUANT.</t>
  </si>
  <si>
    <t>TOTAL</t>
  </si>
  <si>
    <t>FONTE</t>
  </si>
  <si>
    <t>1.1</t>
  </si>
  <si>
    <t>2.1</t>
  </si>
  <si>
    <t>(  X  )</t>
  </si>
  <si>
    <t xml:space="preserve">FORMA DE
EXECUÇÃO: </t>
  </si>
  <si>
    <t>UNITÁRIO
 S/ BDI</t>
  </si>
  <si>
    <t>UNITÁRIO
C/ BDI</t>
  </si>
  <si>
    <t>FÓRMULA/MEMÓRIA</t>
  </si>
  <si>
    <t>MÊS 01</t>
  </si>
  <si>
    <t>MÊS 02</t>
  </si>
  <si>
    <t>MÊS 03</t>
  </si>
  <si>
    <t xml:space="preserve">BDI = </t>
  </si>
  <si>
    <t>FÍSICO/
FINANCEIRO</t>
  </si>
  <si>
    <t>MEMÓRIA DE CÁLCULO</t>
  </si>
  <si>
    <t>PLANILHA ORÇAMENTÁRIA DE CUSTOS</t>
  </si>
  <si>
    <t>CDIGO</t>
  </si>
  <si>
    <t>SERVIÇOS PRELIMINARES</t>
  </si>
  <si>
    <t>VEDAÇÕES, PISOS, COBERTURAS, ESQUADRIAS, ACABAMENTOS E ACESSÓRIOS</t>
  </si>
  <si>
    <t>ALVENARIAS/REVESTIMENTOS</t>
  </si>
  <si>
    <t>M</t>
  </si>
  <si>
    <t>PINTURA</t>
  </si>
  <si>
    <t>ESQUADRIAS E ACESSÓRIOS</t>
  </si>
  <si>
    <t>MÊS 04</t>
  </si>
  <si>
    <t>VALOR:</t>
  </si>
  <si>
    <t>CRONOGRAMA FÍSICO-FINANCEIRO</t>
  </si>
  <si>
    <t>UNID</t>
  </si>
  <si>
    <t>M2</t>
  </si>
  <si>
    <r>
      <rPr>
        <b/>
        <sz val="10"/>
        <rFont val="Arial"/>
        <family val="2"/>
      </rPr>
      <t>ISS</t>
    </r>
    <r>
      <rPr>
        <b/>
        <sz val="10"/>
        <color rgb="FFFF0000"/>
        <rFont val="Arial"/>
        <family val="2"/>
      </rPr>
      <t xml:space="preserve">
</t>
    </r>
    <r>
      <rPr>
        <b/>
        <sz val="10"/>
        <rFont val="Arial"/>
        <family val="2"/>
      </rPr>
      <t>5,00%</t>
    </r>
  </si>
  <si>
    <t>2</t>
  </si>
  <si>
    <t>PREÇO TOTAL</t>
  </si>
  <si>
    <t>DEMOLIÇÃO / REMOÇÃO</t>
  </si>
  <si>
    <t>PRAZO DE EXECUÇÃO: 02 MESES</t>
  </si>
  <si>
    <t>2.2</t>
  </si>
  <si>
    <t>2.2.1</t>
  </si>
  <si>
    <t>2.2.1.1</t>
  </si>
  <si>
    <t>2.2.1.2</t>
  </si>
  <si>
    <t>2.2.1.3</t>
  </si>
  <si>
    <t>2.2.2</t>
  </si>
  <si>
    <t>2.2.2.1</t>
  </si>
  <si>
    <t>2.2.3</t>
  </si>
  <si>
    <t>2.2.3.1</t>
  </si>
  <si>
    <t>2.2.4</t>
  </si>
  <si>
    <t>2.2.4.1</t>
  </si>
  <si>
    <t>2.2.4.2</t>
  </si>
  <si>
    <t>COBERTURA</t>
  </si>
  <si>
    <t>2.2.4.3</t>
  </si>
  <si>
    <t>2.2.5</t>
  </si>
  <si>
    <t>2.2.5.1</t>
  </si>
  <si>
    <t>2.2.5.2</t>
  </si>
  <si>
    <t>2.2.5.3</t>
  </si>
  <si>
    <t>M3</t>
  </si>
  <si>
    <t>PISOS</t>
  </si>
  <si>
    <t>PREFEITURA MUNICIPAL DE DIVISA ALEGRE - MG</t>
  </si>
  <si>
    <t>PREFEITURA MUNICIPAL DE DIVISA ALEGRE / MG</t>
  </si>
  <si>
    <t>2.1.1</t>
  </si>
  <si>
    <t>2.1.2</t>
  </si>
  <si>
    <t>2.1.3</t>
  </si>
  <si>
    <t>2.2.4.4</t>
  </si>
  <si>
    <t>PREFEITURA MUNICIPAL DE DIVISA ALEGRE 
RUA  ALFREDO LUIZ BAHIA, Nº 04, CENTRO, DIVISA ALEGRE/MG
CEP: 39.995-000   Telefones: (33) 37558135/8187                                                                                 
CNPJ Nº 01.613.073/0001-11</t>
  </si>
  <si>
    <t>OBS: Mesma área do chapisco aplicado em todas as alvenarias acrescentadas.</t>
  </si>
  <si>
    <t>Pintura interna e externa, conforme memória de cálculo de pintura em anexo</t>
  </si>
  <si>
    <t>Pintura tetos, conforme memória de cálculo de pintura em anexo</t>
  </si>
  <si>
    <t>Pintura esquadrias de madeira, conforme memória de cálculo de pintura em anexo</t>
  </si>
  <si>
    <t>( 0,90 m X 2,10 m ) - Porta à instalar na sala de vacinas e estocagem</t>
  </si>
  <si>
    <t>___________________________________________________</t>
  </si>
  <si>
    <t>Prefeito Municipal de Divisa Alegre/MG</t>
  </si>
  <si>
    <t>MARCOS VINÍCIUS COSTA FRÓIS</t>
  </si>
  <si>
    <t>ENGENHEIRO CIVIL - CREA-MG: 250000/D</t>
  </si>
  <si>
    <t>__________________________________________________________________________</t>
  </si>
  <si>
    <t>(( 0,90 m X 2,10 m ) vão de abertura para nova porta - (0,90 m X 0,30 m ) abertura já existente devido a janela que será removida) X 0,15 m espessura da parede)</t>
  </si>
  <si>
    <t>28,93 m + 28,93 m + 29,90 m - comprimento muro</t>
  </si>
  <si>
    <t>((( 1,50 m + 0,83 m + 1,35 m + 0,68 m + 0,15 m)  X (0,80 m)) Perímetro X altura, referente a pintura da bancada da recepção</t>
  </si>
  <si>
    <t>Área do telhado à substituir, conforme projeto</t>
  </si>
  <si>
    <t>2.2.3.2</t>
  </si>
  <si>
    <t>2.2.3.3</t>
  </si>
  <si>
    <t>2.2.3.4</t>
  </si>
  <si>
    <t>(5,25 m + 4,30 m +2,30 m + 4,30 m + 4,30 m +2,30 m + 4,30 m + 5,25 m) - comprimento da calha, conforme planta de cobertura.</t>
  </si>
  <si>
    <t>(9,25 m + 6,00 m + 2,90 m + 2,90 m + 8,65 m + 0,60 m + 1,85 m + 3,45 m + 5,10 m + 3,45 m + 1,85 m + 0,60 m + 5,00 m  + 1,50 m +1,50 m + 5,80 m ) - comprimento rufo, conforme planta de cobertura.</t>
  </si>
  <si>
    <t xml:space="preserve">PLACA DE OBRA (PARA CONSTRUCAO CIVIL) EM CHAPA GALVANIZADA *N. 22*, ADESIVADA, DE *2,4 X 1,2* M (SEM POSTES PARA FIXACAO)  </t>
  </si>
  <si>
    <t>SINAPI-I</t>
  </si>
  <si>
    <t xml:space="preserve">M2    </t>
  </si>
  <si>
    <t>DEMOLIÇÃO DE ALVENARIA DE BLOCO FURADO, DE FORMA MANUAL, SEM REAPROVEITAMENTO. AF_12/2017</t>
  </si>
  <si>
    <t>SINAPI</t>
  </si>
  <si>
    <t>REMOÇÃO DE PORTAS, DE FORMA MANUAL, SEM REAPROVEITAMENTO. AF_12/2017</t>
  </si>
  <si>
    <t>REMOÇÃO DE TELHAS, DE FIBROCIMENTO, METÁLICA E CERÂMICA, DE FORMA MANUAL, SEM REAPROVEITAMENTO. AF_12/2017</t>
  </si>
  <si>
    <t>ALVENARIA DE VEDAÇÃO DE BLOCOS CERÂMICOS FURADOS NA VERTICAL DE 9X19X39 CM (ESPESSURA 9 CM) E ARGAMASSA DE ASSENTAMENTO COM PREPARO MANUAL. AF_12/2021</t>
  </si>
  <si>
    <t>CHAPISCO APLICADO EM ALVENARIAS E ESTRUTURAS DE CONCRETO INTERNAS, COM COLHER DE PEDREIRO.  ARGAMASSA TRAÇO 1:3 COM PREPARO MANUAL. AF_10/2022</t>
  </si>
  <si>
    <t>MASSA ÚNICA, PARA RECEBIMENTO DE PINTURA, EM ARGAMASSA TRAÇO 1:2:8, PREPARO MANUAL, APLICADA MANUALMENTE EM FACES INTERNAS DE PAREDES, ESPESSURA DE 20MM, COM EXECUÇÃO DE TALISCAS. AF_06/2014</t>
  </si>
  <si>
    <t>CALHA EM CHAPA DE AÇO GALVANIZADO NÚMERO 24, DESENVOLVIMENTO DE 33 CM, INCLUSO TRANSPORTE VERTICAL. AF_07/2019</t>
  </si>
  <si>
    <t>RUFO EM CHAPA DE AÇO GALVANIZADO NÚMERO 24, CORTE DE 25 CM, INCLUSO TRANSPORTE VERTICAL. AF_07/2019</t>
  </si>
  <si>
    <t>TELHAMENTO COM TELHA DE AÇO/ALUMÍNIO E = 0,5 MM, COM ATÉ 2 ÁGUAS, INCLUSO IÇAMENTO. AF_07/2019</t>
  </si>
  <si>
    <t>APLICAÇÃO MANUAL DE PINTURA COM TINTA LÁTEX ACRÍLICA EM TETO, DUAS DEMÃOS. AF_06/2014</t>
  </si>
  <si>
    <t>PORTA DE MADEIRA PARA PINTURA, SEMI-OCA (LEVE OU MÉDIA), 90X210CM, ESPESSURA DE 3,5CM, INCLUSO DOBRADIÇAS - FORNECIMENTO E INSTALAÇÃO. AF_12/2019</t>
  </si>
  <si>
    <t xml:space="preserve">CONCERTINA CLIPADA (DUPLA) EM ACO GALVANIZADO DE ALTA RESISTENCIA, COM ESPIRAL DE 300 MM, D = 2,76 MM    </t>
  </si>
  <si>
    <t xml:space="preserve">Comprimento (m) x Largura (m) = (2,40m x 1,20m) </t>
  </si>
  <si>
    <t>PINTURA TINTA DE ACABAMENTO (PIGMENTADA) ESMALTE SINTÉTICO BRILHANTE EM MADEIRA, 2 DEMÃOS. AF_01/2021</t>
  </si>
  <si>
    <t>LOCAL:  RUA ROSENO PEREIRA SOUTO, BAIRRO CAMACÃ, DIVISA ALEGRE / MG</t>
  </si>
  <si>
    <t>JONAS COSME DE ALMEIDA</t>
  </si>
  <si>
    <t>GRANITO PARA BANCADA, POLIDO, TIPO ANDORINHA/ QUARTZ/ CASTELO/ CORUMBA OU OUTROS EQUIVALENTES DA REGIAO, E=  *2,5* CM</t>
  </si>
  <si>
    <t>2.2.5.4</t>
  </si>
  <si>
    <t>(( 1,50 m + 0,68 m )  X (0,40 m), Perímetro da bancada X largura da bancada, referente a bancada da recepção.</t>
  </si>
  <si>
    <t>APLICAÇÃO MANUAL DE PINTURA COM TINTA LÁTEX ACRÍLICA EM PAREDES, DUAS DEMÃOS. AF_06/2014 (PINTURA INTERNA E EXTERNA)</t>
  </si>
  <si>
    <t>APLICAÇÃO MANUAL DE PINTURA COM TINTA LÁTEX ACRÍLICA EM PAREDES, DUAS DEMÃOS. AF_06/2014 (PINTURA BANCADA RECEPÇÃO)</t>
  </si>
  <si>
    <t>COMPOSIÇÃO DO BDI  SEM DESONERAÇÃO (OBRA DE EDIFICAÇÃO) CONFORME ACÓRDÃO Nº 2622/13 E LEI Nº 13.161 DE 31/08/15</t>
  </si>
  <si>
    <t>DATA: 23 DE MARÇO DE 2023</t>
  </si>
  <si>
    <t>REGIÃO/MÊS DE REFERÊNCIA: SINAPI - MG - 02/2023  - SEM DESONERAÇÃO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</si>
  <si>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</si>
  <si>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PORTA DE CORRER DE ALUMÍNIO, COM DUAS FOLHAS PARA VIDRO, INCLUSO VIDRO LISO INCOLOR, FECHADURA E PUXADOR, SEM ALIZAR. AF_12/2019</t>
  </si>
  <si>
    <t>2.2.5.5</t>
  </si>
  <si>
    <t>PORTA DE MADEIRA PARA PINTURA, SEMI-OCA (LEVE OU MÉDIA), 80X210CM, ESPESSURA DE 3,5CM, INCLUSO DOBRADIÇAS - FORNECIMENTO E INSTALAÇÃO. AF_12/2019</t>
  </si>
  <si>
    <t>( 0,80 m X 2,10 m ) X 3 unidades - Portas PM01 à substituir na sala de esterelização + expurgo + copa</t>
  </si>
  <si>
    <t xml:space="preserve">( 0,95 m X 0,80 m) - Janela J04 à remover na sala de vacina, ( 0,80 m X 2,10 m X 3 UNID) - Portas PM01 à substituir na sala de esterelização + expurgo + copa,  ( 0,90 m X 2,10 m X 2 UNID) -  Portas PM02 à substituir no consultório com sanitário anexo  + sala de curativos </t>
  </si>
  <si>
    <t xml:space="preserve">( 0,90 m X 2,10 m ) X 2 unidades - Portas PM02 à substituir no consultório com sanitário anexo + sala de curativos </t>
  </si>
  <si>
    <t xml:space="preserve"> ( 2,78 m X 2,80 m X 1 unidade ) - Portas à instalar na recepção</t>
  </si>
  <si>
    <t xml:space="preserve">(( 0,95 m X 0,80 m) Janela J04 Fechamento da abertura existente devido a janela que foi removida na sala de vacina - (0,90 m X 0,30 m) Referente a parte da porta que será instalada e por isso não será considerada alvenaria) + ( 0,90 m X 2,10 m ) - Fechamento da abertura da Porta PM02 na sala de estocagem  + (( 1,50 m + 0,68 m )  X (0,80 m), Perímetro de alvenaria X altura da alvenaria, referente a bancada da recepção +  (( 1,20 m X 2,80 m ) - ( 0,90 m X 2,10)) - Fechamento da sala de estocagem descontando o vão de abertura </t>
  </si>
  <si>
    <t>((( 0,95 m X 0,80 m) Janela J04 Chapisco Fechamento da abertura existente devido a janela que foi removida na sala de vacina - (0,90 m X 0,30 m) Referente a parte da porta que será instalada e por isso não será considerada alvenaria)  x 2 faces) + ( 0,90 m X 2,10 m X 2 faces) - Chapisco para o fechamento da abertura da Porta PM02 na sala de estocagem + ((( 1,50 m + 0,83 m + 1,35 m + 0,68 m + 0,15 m)  X (0,80 m)), Perímetro de alvenaria X altura da alvenaria, referente a bancada da recepção +  (( 1,20 m X 2,80 m ) - ( 0,90 m X 2,10)) - Chapisco para o fechamento da sala de estocagem descontando o vão de abertura</t>
  </si>
  <si>
    <t>EXECUÇÃO DE PASSEIO (CALÇADA) OU PISO DE CONCRETO COM CONCRETO MOLDADO IN LOCO, FEITO EM OBRA, ACABAMENTO CONVENCIONAL, NÃO ARMADO. AF_08/2022</t>
  </si>
  <si>
    <t>(((1,15 m + 0,88 m)/ 2) - perímetro passeio externo X 0,50 m - largura do passeio X 0,06 m - espessura do passeio)  + ((3,70 m X 1,00 m) - perímetro passeio X 0,06 m - espessura do passeio - Referente a recomposição da rampa de saída da ambulância) =  Volume de concreto do passeio</t>
  </si>
  <si>
    <t xml:space="preserve">OBJETO: MANUTENÇÃO DAS INSTALAÇÕES FÍSICAS DA UBS CAMACÃ DE DIVISA  ALEGRE / MG </t>
  </si>
  <si>
    <t xml:space="preserve">MANUTENÇÃO DAS INSTALAÇÕES FÍSICAS DA UBS CAMACÃ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</si>
</sst>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&quot;R$&quot;\ #,##0.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alibri"/>
      <family val="2"/>
      <scheme val="minor"/>
    </font>
    <font>
      <b/>
      <sz val="10"/>
      <color rgb="FFFF0000"/>
      <name val="Arial"/>
      <family val="2"/>
    </font>
    <font>
      <sz val="7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10000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8"/>
      <color rgb="FFFF0000"/>
      <name val="Arial"/>
      <family val="2"/>
    </font>
    <font>
      <sz val="8"/>
      <name val="Calibri"/>
      <family val="2"/>
      <scheme val="minor"/>
    </font>
    <font>
      <sz val="10"/>
      <color rgb="FFFF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BFBFB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9" fillId="7" borderId="1" applyNumberFormat="0" applyAlignment="0" applyProtection="0"/>
    <xf numFmtId="0" fontId="10" fillId="3" borderId="0" applyNumberFormat="0" applyBorder="0" applyAlignment="0" applyProtection="0"/>
    <xf numFmtId="0" fontId="11" fillId="22" borderId="0" applyNumberFormat="0" applyBorder="0" applyAlignment="0" applyProtection="0"/>
    <xf numFmtId="0" fontId="2" fillId="23" borderId="4" applyNumberFormat="0" applyFont="0" applyAlignment="0" applyProtection="0"/>
    <xf numFmtId="9" fontId="2" fillId="0" borderId="0" applyFont="0" applyFill="0" applyBorder="0" applyAlignment="0" applyProtection="0"/>
    <xf numFmtId="0" fontId="12" fillId="16" borderId="5" applyNumberFormat="0" applyAlignment="0" applyProtection="0"/>
    <xf numFmtId="164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43" fontId="1" fillId="0" borderId="0" applyFont="0" applyFill="0" applyBorder="0" applyAlignment="0" applyProtection="0"/>
    <xf numFmtId="44" fontId="34" fillId="0" borderId="0" applyFont="0" applyFill="0" applyBorder="0" applyAlignment="0" applyProtection="0"/>
  </cellStyleXfs>
  <cellXfs count="280">
    <xf numFmtId="0" fontId="0" fillId="0" borderId="0" xfId="0"/>
    <xf numFmtId="0" fontId="20" fillId="0" borderId="10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4" fontId="20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165" fontId="2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0" fillId="0" borderId="15" xfId="0" applyFont="1" applyBorder="1" applyAlignment="1">
      <alignment horizontal="left" vertical="center"/>
    </xf>
    <xf numFmtId="0" fontId="20" fillId="0" borderId="13" xfId="0" applyFont="1" applyBorder="1" applyAlignment="1">
      <alignment horizontal="left" vertical="center"/>
    </xf>
    <xf numFmtId="0" fontId="20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1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 wrapText="1"/>
    </xf>
    <xf numFmtId="165" fontId="21" fillId="0" borderId="0" xfId="0" applyNumberFormat="1" applyFont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0" fontId="30" fillId="0" borderId="10" xfId="0" applyFont="1" applyBorder="1" applyAlignment="1">
      <alignment horizontal="left" vertical="center" wrapText="1"/>
    </xf>
    <xf numFmtId="0" fontId="2" fillId="0" borderId="10" xfId="35" applyNumberFormat="1" applyFont="1" applyFill="1" applyBorder="1" applyAlignment="1">
      <alignment horizontal="center" vertical="center" wrapText="1"/>
    </xf>
    <xf numFmtId="0" fontId="20" fillId="0" borderId="17" xfId="0" applyFont="1" applyBorder="1" applyAlignment="1">
      <alignment horizontal="left" vertical="center"/>
    </xf>
    <xf numFmtId="0" fontId="20" fillId="0" borderId="17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20" fillId="0" borderId="1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165" fontId="2" fillId="0" borderId="10" xfId="0" applyNumberFormat="1" applyFont="1" applyBorder="1" applyAlignment="1">
      <alignment horizontal="center" vertical="center" wrapText="1"/>
    </xf>
    <xf numFmtId="2" fontId="2" fillId="25" borderId="10" xfId="0" applyNumberFormat="1" applyFont="1" applyFill="1" applyBorder="1" applyAlignment="1">
      <alignment horizontal="center" vertical="center" wrapText="1"/>
    </xf>
    <xf numFmtId="0" fontId="2" fillId="25" borderId="0" xfId="0" applyFont="1" applyFill="1" applyAlignment="1">
      <alignment vertical="center"/>
    </xf>
    <xf numFmtId="0" fontId="21" fillId="25" borderId="0" xfId="0" applyFont="1" applyFill="1" applyAlignment="1">
      <alignment vertical="center"/>
    </xf>
    <xf numFmtId="0" fontId="20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0" fontId="22" fillId="26" borderId="0" xfId="0" applyFont="1" applyFill="1" applyAlignment="1">
      <alignment horizontal="center" vertical="center"/>
    </xf>
    <xf numFmtId="0" fontId="22" fillId="26" borderId="0" xfId="0" applyFont="1" applyFill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0" fillId="26" borderId="10" xfId="0" applyFont="1" applyFill="1" applyBorder="1" applyAlignment="1">
      <alignment horizontal="center" vertical="center"/>
    </xf>
    <xf numFmtId="0" fontId="20" fillId="26" borderId="10" xfId="0" applyFont="1" applyFill="1" applyBorder="1" applyAlignment="1">
      <alignment horizontal="left" vertical="center" wrapText="1"/>
    </xf>
    <xf numFmtId="49" fontId="20" fillId="26" borderId="10" xfId="0" applyNumberFormat="1" applyFont="1" applyFill="1" applyBorder="1" applyAlignment="1">
      <alignment horizontal="center" vertical="center" wrapText="1"/>
    </xf>
    <xf numFmtId="2" fontId="20" fillId="26" borderId="10" xfId="0" applyNumberFormat="1" applyFont="1" applyFill="1" applyBorder="1" applyAlignment="1">
      <alignment horizontal="center" vertical="center" wrapText="1"/>
    </xf>
    <xf numFmtId="165" fontId="20" fillId="26" borderId="10" xfId="0" applyNumberFormat="1" applyFont="1" applyFill="1" applyBorder="1" applyAlignment="1">
      <alignment horizontal="center" vertical="center" wrapText="1"/>
    </xf>
    <xf numFmtId="0" fontId="20" fillId="26" borderId="0" xfId="0" applyFont="1" applyFill="1" applyAlignment="1">
      <alignment vertical="center"/>
    </xf>
    <xf numFmtId="0" fontId="20" fillId="26" borderId="10" xfId="0" applyFont="1" applyFill="1" applyBorder="1" applyAlignment="1">
      <alignment horizontal="left" vertical="center"/>
    </xf>
    <xf numFmtId="165" fontId="20" fillId="27" borderId="10" xfId="0" applyNumberFormat="1" applyFont="1" applyFill="1" applyBorder="1" applyAlignment="1">
      <alignment horizontal="center" vertical="center" wrapText="1"/>
    </xf>
    <xf numFmtId="0" fontId="2" fillId="24" borderId="10" xfId="0" applyFont="1" applyFill="1" applyBorder="1" applyAlignment="1">
      <alignment horizontal="center" vertical="center" wrapText="1"/>
    </xf>
    <xf numFmtId="0" fontId="20" fillId="24" borderId="10" xfId="0" applyFont="1" applyFill="1" applyBorder="1" applyAlignment="1">
      <alignment horizontal="center" vertical="center" wrapText="1"/>
    </xf>
    <xf numFmtId="0" fontId="28" fillId="24" borderId="10" xfId="0" applyFont="1" applyFill="1" applyBorder="1" applyAlignment="1">
      <alignment horizontal="left" vertical="center"/>
    </xf>
    <xf numFmtId="0" fontId="29" fillId="24" borderId="10" xfId="35" applyNumberFormat="1" applyFont="1" applyFill="1" applyBorder="1" applyAlignment="1">
      <alignment horizontal="center" vertical="center" wrapText="1"/>
    </xf>
    <xf numFmtId="2" fontId="2" fillId="24" borderId="10" xfId="0" applyNumberFormat="1" applyFont="1" applyFill="1" applyBorder="1" applyAlignment="1">
      <alignment horizontal="center" vertical="center" wrapText="1"/>
    </xf>
    <xf numFmtId="0" fontId="29" fillId="0" borderId="10" xfId="0" applyFont="1" applyBorder="1" applyAlignment="1">
      <alignment horizontal="left" vertical="center" wrapText="1"/>
    </xf>
    <xf numFmtId="0" fontId="20" fillId="24" borderId="10" xfId="0" applyFont="1" applyFill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center" wrapText="1"/>
    </xf>
    <xf numFmtId="0" fontId="26" fillId="0" borderId="10" xfId="35" applyNumberFormat="1" applyFont="1" applyFill="1" applyBorder="1" applyAlignment="1">
      <alignment horizontal="center" vertical="center" wrapText="1"/>
    </xf>
    <xf numFmtId="0" fontId="27" fillId="25" borderId="10" xfId="0" applyFont="1" applyFill="1" applyBorder="1" applyAlignment="1">
      <alignment horizontal="center" vertical="center" wrapText="1"/>
    </xf>
    <xf numFmtId="0" fontId="2" fillId="25" borderId="10" xfId="0" applyFont="1" applyFill="1" applyBorder="1" applyAlignment="1">
      <alignment horizontal="center" vertical="center" wrapText="1"/>
    </xf>
    <xf numFmtId="0" fontId="20" fillId="25" borderId="10" xfId="0" applyFont="1" applyFill="1" applyBorder="1" applyAlignment="1">
      <alignment horizontal="center" vertical="center" wrapText="1"/>
    </xf>
    <xf numFmtId="0" fontId="28" fillId="25" borderId="10" xfId="0" applyFont="1" applyFill="1" applyBorder="1" applyAlignment="1">
      <alignment horizontal="left" vertical="center"/>
    </xf>
    <xf numFmtId="0" fontId="29" fillId="25" borderId="10" xfId="35" applyNumberFormat="1" applyFont="1" applyFill="1" applyBorder="1" applyAlignment="1">
      <alignment horizontal="center" vertical="center" wrapText="1"/>
    </xf>
    <xf numFmtId="0" fontId="21" fillId="25" borderId="0" xfId="0" applyFont="1" applyFill="1" applyAlignment="1">
      <alignment vertical="center" wrapText="1"/>
    </xf>
    <xf numFmtId="0" fontId="2" fillId="27" borderId="10" xfId="0" applyFont="1" applyFill="1" applyBorder="1" applyAlignment="1">
      <alignment horizontal="center" vertical="center" wrapText="1"/>
    </xf>
    <xf numFmtId="0" fontId="20" fillId="27" borderId="10" xfId="0" applyFont="1" applyFill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left" vertical="center"/>
    </xf>
    <xf numFmtId="0" fontId="29" fillId="27" borderId="10" xfId="35" applyNumberFormat="1" applyFont="1" applyFill="1" applyBorder="1" applyAlignment="1">
      <alignment horizontal="center" vertical="center" wrapText="1"/>
    </xf>
    <xf numFmtId="0" fontId="21" fillId="27" borderId="0" xfId="0" applyFont="1" applyFill="1" applyAlignment="1">
      <alignment vertical="center" wrapText="1"/>
    </xf>
    <xf numFmtId="2" fontId="2" fillId="27" borderId="10" xfId="0" applyNumberFormat="1" applyFont="1" applyFill="1" applyBorder="1" applyAlignment="1">
      <alignment horizontal="center" vertical="center" wrapText="1"/>
    </xf>
    <xf numFmtId="0" fontId="27" fillId="25" borderId="10" xfId="0" applyFont="1" applyFill="1" applyBorder="1" applyAlignment="1">
      <alignment horizontal="left" vertical="center"/>
    </xf>
    <xf numFmtId="0" fontId="26" fillId="25" borderId="10" xfId="35" applyNumberFormat="1" applyFont="1" applyFill="1" applyBorder="1" applyAlignment="1">
      <alignment horizontal="center" vertical="center" wrapText="1"/>
    </xf>
    <xf numFmtId="0" fontId="2" fillId="27" borderId="0" xfId="0" applyFont="1" applyFill="1" applyAlignment="1">
      <alignment vertical="center"/>
    </xf>
    <xf numFmtId="165" fontId="20" fillId="26" borderId="0" xfId="0" applyNumberFormat="1" applyFont="1" applyFill="1" applyAlignment="1">
      <alignment vertical="center"/>
    </xf>
    <xf numFmtId="0" fontId="21" fillId="27" borderId="0" xfId="0" applyFont="1" applyFill="1" applyAlignment="1">
      <alignment vertical="center"/>
    </xf>
    <xf numFmtId="0" fontId="22" fillId="27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32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10" fontId="20" fillId="0" borderId="10" xfId="33" applyNumberFormat="1" applyFont="1" applyFill="1" applyBorder="1" applyAlignment="1">
      <alignment horizontal="left" vertical="center"/>
    </xf>
    <xf numFmtId="0" fontId="20" fillId="0" borderId="10" xfId="0" applyFont="1" applyBorder="1" applyAlignment="1">
      <alignment horizontal="right" vertical="center" wrapText="1"/>
    </xf>
    <xf numFmtId="4" fontId="2" fillId="0" borderId="26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49" fontId="2" fillId="0" borderId="14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2" fontId="20" fillId="0" borderId="10" xfId="0" applyNumberFormat="1" applyFont="1" applyBorder="1" applyAlignment="1">
      <alignment horizontal="center" vertical="center"/>
    </xf>
    <xf numFmtId="2" fontId="20" fillId="0" borderId="13" xfId="0" applyNumberFormat="1" applyFont="1" applyBorder="1" applyAlignment="1">
      <alignment horizontal="center" vertical="center"/>
    </xf>
    <xf numFmtId="2" fontId="20" fillId="0" borderId="13" xfId="0" applyNumberFormat="1" applyFont="1" applyBorder="1" applyAlignment="1">
      <alignment vertical="center"/>
    </xf>
    <xf numFmtId="2" fontId="20" fillId="0" borderId="11" xfId="0" applyNumberFormat="1" applyFont="1" applyBorder="1" applyAlignment="1">
      <alignment horizontal="center" vertical="center" wrapText="1"/>
    </xf>
    <xf numFmtId="2" fontId="20" fillId="0" borderId="19" xfId="0" applyNumberFormat="1" applyFont="1" applyBorder="1" applyAlignment="1">
      <alignment horizontal="center" vertical="center" wrapText="1"/>
    </xf>
    <xf numFmtId="2" fontId="20" fillId="24" borderId="10" xfId="0" applyNumberFormat="1" applyFont="1" applyFill="1" applyBorder="1" applyAlignment="1">
      <alignment horizontal="center" vertical="center" wrapText="1"/>
    </xf>
    <xf numFmtId="2" fontId="2" fillId="27" borderId="10" xfId="0" applyNumberFormat="1" applyFont="1" applyFill="1" applyBorder="1" applyAlignment="1">
      <alignment horizontal="center" vertical="center"/>
    </xf>
    <xf numFmtId="2" fontId="20" fillId="27" borderId="1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2" fontId="20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2" fontId="0" fillId="0" borderId="0" xfId="0" applyNumberFormat="1" applyAlignment="1">
      <alignment vertical="center"/>
    </xf>
    <xf numFmtId="2" fontId="2" fillId="0" borderId="17" xfId="0" applyNumberFormat="1" applyFont="1" applyBorder="1" applyAlignment="1">
      <alignment horizontal="center" vertical="center"/>
    </xf>
    <xf numFmtId="165" fontId="35" fillId="27" borderId="0" xfId="0" applyNumberFormat="1" applyFont="1" applyFill="1" applyAlignment="1">
      <alignment vertical="center"/>
    </xf>
    <xf numFmtId="165" fontId="35" fillId="0" borderId="0" xfId="0" applyNumberFormat="1" applyFont="1" applyAlignment="1">
      <alignment vertical="center"/>
    </xf>
    <xf numFmtId="165" fontId="35" fillId="26" borderId="0" xfId="0" applyNumberFormat="1" applyFont="1" applyFill="1" applyAlignment="1">
      <alignment vertical="center"/>
    </xf>
    <xf numFmtId="165" fontId="22" fillId="26" borderId="0" xfId="0" applyNumberFormat="1" applyFont="1" applyFill="1" applyAlignment="1">
      <alignment horizontal="center" vertical="center"/>
    </xf>
    <xf numFmtId="0" fontId="20" fillId="27" borderId="10" xfId="0" applyFont="1" applyFill="1" applyBorder="1" applyAlignment="1">
      <alignment horizontal="center" vertical="center"/>
    </xf>
    <xf numFmtId="0" fontId="20" fillId="27" borderId="10" xfId="0" applyFont="1" applyFill="1" applyBorder="1" applyAlignment="1">
      <alignment horizontal="left" vertical="center" wrapText="1"/>
    </xf>
    <xf numFmtId="49" fontId="20" fillId="27" borderId="10" xfId="0" applyNumberFormat="1" applyFont="1" applyFill="1" applyBorder="1" applyAlignment="1">
      <alignment horizontal="center" vertical="center" wrapText="1"/>
    </xf>
    <xf numFmtId="165" fontId="20" fillId="27" borderId="0" xfId="0" applyNumberFormat="1" applyFont="1" applyFill="1" applyAlignment="1">
      <alignment vertical="center"/>
    </xf>
    <xf numFmtId="49" fontId="20" fillId="0" borderId="30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horizontal="center" vertical="center" wrapText="1"/>
    </xf>
    <xf numFmtId="0" fontId="20" fillId="26" borderId="30" xfId="0" applyFont="1" applyFill="1" applyBorder="1" applyAlignment="1">
      <alignment horizontal="center" vertical="center"/>
    </xf>
    <xf numFmtId="165" fontId="20" fillId="26" borderId="31" xfId="0" applyNumberFormat="1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165" fontId="2" fillId="0" borderId="31" xfId="0" applyNumberFormat="1" applyFont="1" applyBorder="1" applyAlignment="1">
      <alignment horizontal="center" vertical="center" wrapText="1"/>
    </xf>
    <xf numFmtId="0" fontId="20" fillId="27" borderId="30" xfId="0" applyFont="1" applyFill="1" applyBorder="1" applyAlignment="1">
      <alignment horizontal="center" vertical="center"/>
    </xf>
    <xf numFmtId="165" fontId="20" fillId="27" borderId="31" xfId="0" applyNumberFormat="1" applyFont="1" applyFill="1" applyBorder="1" applyAlignment="1">
      <alignment horizontal="center" vertical="center" wrapText="1"/>
    </xf>
    <xf numFmtId="165" fontId="20" fillId="0" borderId="26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35" fillId="26" borderId="0" xfId="0" applyFont="1" applyFill="1" applyAlignment="1">
      <alignment vertical="center"/>
    </xf>
    <xf numFmtId="0" fontId="35" fillId="0" borderId="0" xfId="0" applyFont="1" applyAlignment="1">
      <alignment vertical="center"/>
    </xf>
    <xf numFmtId="0" fontId="24" fillId="26" borderId="0" xfId="0" applyFont="1" applyFill="1" applyAlignment="1">
      <alignment vertical="center"/>
    </xf>
    <xf numFmtId="165" fontId="21" fillId="0" borderId="0" xfId="0" applyNumberFormat="1" applyFont="1" applyAlignment="1">
      <alignment vertical="center"/>
    </xf>
    <xf numFmtId="4" fontId="2" fillId="0" borderId="10" xfId="0" applyNumberFormat="1" applyFont="1" applyBorder="1" applyAlignment="1">
      <alignment horizontal="center" vertical="center" wrapText="1"/>
    </xf>
    <xf numFmtId="0" fontId="20" fillId="0" borderId="39" xfId="0" applyFont="1" applyBorder="1" applyAlignment="1">
      <alignment horizontal="left" vertical="center"/>
    </xf>
    <xf numFmtId="0" fontId="2" fillId="0" borderId="40" xfId="0" applyFont="1" applyBorder="1" applyAlignment="1">
      <alignment vertical="center" wrapText="1"/>
    </xf>
    <xf numFmtId="49" fontId="20" fillId="0" borderId="25" xfId="0" applyNumberFormat="1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49" fontId="20" fillId="0" borderId="32" xfId="0" applyNumberFormat="1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49" fontId="20" fillId="0" borderId="41" xfId="0" applyNumberFormat="1" applyFont="1" applyBorder="1" applyAlignment="1">
      <alignment horizontal="center" vertical="center" wrapText="1"/>
    </xf>
    <xf numFmtId="0" fontId="20" fillId="0" borderId="42" xfId="0" applyFont="1" applyBorder="1" applyAlignment="1">
      <alignment horizontal="center" vertical="center" wrapText="1"/>
    </xf>
    <xf numFmtId="0" fontId="27" fillId="24" borderId="30" xfId="0" applyFont="1" applyFill="1" applyBorder="1" applyAlignment="1">
      <alignment horizontal="center" vertical="center" wrapText="1"/>
    </xf>
    <xf numFmtId="0" fontId="2" fillId="24" borderId="31" xfId="0" applyFont="1" applyFill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4" fontId="29" fillId="0" borderId="31" xfId="0" applyNumberFormat="1" applyFont="1" applyBorder="1" applyAlignment="1">
      <alignment vertical="center" wrapText="1"/>
    </xf>
    <xf numFmtId="49" fontId="20" fillId="24" borderId="30" xfId="0" applyNumberFormat="1" applyFont="1" applyFill="1" applyBorder="1" applyAlignment="1">
      <alignment horizontal="center" vertical="center" wrapText="1"/>
    </xf>
    <xf numFmtId="0" fontId="20" fillId="24" borderId="31" xfId="0" applyFont="1" applyFill="1" applyBorder="1" applyAlignment="1">
      <alignment horizontal="center" vertical="center" wrapText="1"/>
    </xf>
    <xf numFmtId="0" fontId="27" fillId="27" borderId="30" xfId="0" applyFont="1" applyFill="1" applyBorder="1" applyAlignment="1">
      <alignment horizontal="center" vertical="center" wrapText="1"/>
    </xf>
    <xf numFmtId="0" fontId="2" fillId="27" borderId="31" xfId="0" applyFont="1" applyFill="1" applyBorder="1" applyAlignment="1">
      <alignment horizontal="center" vertical="center" wrapText="1"/>
    </xf>
    <xf numFmtId="4" fontId="2" fillId="0" borderId="31" xfId="0" applyNumberFormat="1" applyFont="1" applyBorder="1" applyAlignment="1">
      <alignment vertical="center" wrapText="1"/>
    </xf>
    <xf numFmtId="4" fontId="2" fillId="0" borderId="31" xfId="0" applyNumberFormat="1" applyFont="1" applyBorder="1" applyAlignment="1">
      <alignment horizontal="left" vertical="center" wrapText="1"/>
    </xf>
    <xf numFmtId="4" fontId="2" fillId="27" borderId="31" xfId="0" applyNumberFormat="1" applyFont="1" applyFill="1" applyBorder="1" applyAlignment="1">
      <alignment vertical="center" wrapText="1"/>
    </xf>
    <xf numFmtId="0" fontId="27" fillId="25" borderId="30" xfId="0" applyFont="1" applyFill="1" applyBorder="1" applyAlignment="1">
      <alignment horizontal="center" vertical="center" wrapText="1"/>
    </xf>
    <xf numFmtId="4" fontId="2" fillId="25" borderId="31" xfId="0" applyNumberFormat="1" applyFont="1" applyFill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34" xfId="0" applyNumberFormat="1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left" vertical="center" wrapText="1"/>
    </xf>
    <xf numFmtId="2" fontId="2" fillId="0" borderId="35" xfId="0" applyNumberFormat="1" applyFont="1" applyBorder="1" applyAlignment="1">
      <alignment horizontal="center" vertical="center" wrapText="1"/>
    </xf>
    <xf numFmtId="0" fontId="2" fillId="0" borderId="36" xfId="0" applyFont="1" applyBorder="1" applyAlignment="1">
      <alignment vertical="center" wrapText="1"/>
    </xf>
    <xf numFmtId="10" fontId="2" fillId="0" borderId="0" xfId="0" applyNumberFormat="1" applyFont="1" applyAlignment="1">
      <alignment vertical="center"/>
    </xf>
    <xf numFmtId="0" fontId="2" fillId="0" borderId="43" xfId="0" applyFont="1" applyBorder="1" applyAlignment="1">
      <alignment vertical="center" wrapText="1"/>
    </xf>
    <xf numFmtId="44" fontId="20" fillId="26" borderId="0" xfId="45" applyFont="1" applyFill="1" applyAlignment="1">
      <alignment vertical="center"/>
    </xf>
    <xf numFmtId="44" fontId="22" fillId="26" borderId="0" xfId="45" applyFont="1" applyFill="1" applyAlignment="1">
      <alignment horizontal="center" vertical="center"/>
    </xf>
    <xf numFmtId="165" fontId="22" fillId="26" borderId="0" xfId="0" applyNumberFormat="1" applyFont="1" applyFill="1" applyAlignment="1">
      <alignment vertical="center"/>
    </xf>
    <xf numFmtId="165" fontId="22" fillId="27" borderId="0" xfId="0" applyNumberFormat="1" applyFont="1" applyFill="1" applyAlignment="1">
      <alignment horizontal="center" vertical="center"/>
    </xf>
    <xf numFmtId="165" fontId="22" fillId="27" borderId="0" xfId="0" applyNumberFormat="1" applyFont="1" applyFill="1" applyAlignment="1">
      <alignment vertical="center"/>
    </xf>
    <xf numFmtId="4" fontId="2" fillId="25" borderId="10" xfId="0" applyNumberFormat="1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/>
    </xf>
    <xf numFmtId="0" fontId="20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49" fontId="2" fillId="0" borderId="34" xfId="0" applyNumberFormat="1" applyFont="1" applyBorder="1" applyAlignment="1">
      <alignment vertical="center"/>
    </xf>
    <xf numFmtId="49" fontId="2" fillId="0" borderId="35" xfId="0" applyNumberFormat="1" applyFont="1" applyBorder="1" applyAlignment="1">
      <alignment vertical="center"/>
    </xf>
    <xf numFmtId="49" fontId="2" fillId="0" borderId="36" xfId="0" applyNumberFormat="1" applyFont="1" applyBorder="1" applyAlignment="1">
      <alignment vertical="center"/>
    </xf>
    <xf numFmtId="49" fontId="2" fillId="0" borderId="25" xfId="0" applyNumberFormat="1" applyFont="1" applyBorder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26" xfId="0" applyNumberFormat="1" applyFont="1" applyBorder="1" applyAlignment="1">
      <alignment vertical="center"/>
    </xf>
    <xf numFmtId="0" fontId="36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0" fillId="0" borderId="26" xfId="0" applyFont="1" applyBorder="1" applyAlignment="1">
      <alignment horizontal="center" vertical="center"/>
    </xf>
    <xf numFmtId="0" fontId="20" fillId="0" borderId="26" xfId="0" applyFont="1" applyBorder="1" applyAlignment="1">
      <alignment vertical="center"/>
    </xf>
    <xf numFmtId="0" fontId="2" fillId="0" borderId="26" xfId="0" applyFont="1" applyBorder="1" applyAlignment="1">
      <alignment horizontal="center" vertical="center"/>
    </xf>
    <xf numFmtId="0" fontId="2" fillId="0" borderId="26" xfId="0" applyFont="1" applyBorder="1" applyAlignment="1">
      <alignment vertical="center"/>
    </xf>
    <xf numFmtId="0" fontId="20" fillId="0" borderId="10" xfId="0" applyFont="1" applyBorder="1" applyAlignment="1">
      <alignment horizontal="right" vertical="center"/>
    </xf>
    <xf numFmtId="165" fontId="20" fillId="0" borderId="10" xfId="0" applyNumberFormat="1" applyFont="1" applyBorder="1" applyAlignment="1">
      <alignment horizontal="right" vertical="center"/>
    </xf>
    <xf numFmtId="0" fontId="20" fillId="0" borderId="10" xfId="0" applyFont="1" applyBorder="1" applyAlignment="1">
      <alignment vertical="center" wrapText="1"/>
    </xf>
    <xf numFmtId="10" fontId="2" fillId="0" borderId="10" xfId="0" applyNumberFormat="1" applyFont="1" applyBorder="1" applyAlignment="1">
      <alignment horizontal="center" vertical="center" wrapText="1"/>
    </xf>
    <xf numFmtId="165" fontId="2" fillId="0" borderId="10" xfId="45" applyNumberFormat="1" applyFont="1" applyBorder="1" applyAlignment="1">
      <alignment horizontal="center" vertical="center" wrapText="1"/>
    </xf>
    <xf numFmtId="165" fontId="2" fillId="0" borderId="10" xfId="33" applyNumberFormat="1" applyFont="1" applyBorder="1" applyAlignment="1">
      <alignment horizontal="center" vertical="center" wrapText="1"/>
    </xf>
    <xf numFmtId="10" fontId="20" fillId="0" borderId="10" xfId="0" applyNumberFormat="1" applyFont="1" applyBorder="1" applyAlignment="1">
      <alignment horizontal="center" vertical="center" wrapText="1"/>
    </xf>
    <xf numFmtId="165" fontId="20" fillId="0" borderId="10" xfId="0" applyNumberFormat="1" applyFont="1" applyBorder="1" applyAlignment="1">
      <alignment horizontal="center" vertical="center" wrapText="1"/>
    </xf>
    <xf numFmtId="0" fontId="36" fillId="0" borderId="25" xfId="0" applyFont="1" applyBorder="1" applyAlignment="1">
      <alignment horizontal="center" vertical="center"/>
    </xf>
    <xf numFmtId="2" fontId="20" fillId="0" borderId="0" xfId="0" applyNumberFormat="1" applyFont="1" applyAlignment="1">
      <alignment vertical="center" wrapText="1"/>
    </xf>
    <xf numFmtId="0" fontId="23" fillId="0" borderId="25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2" fontId="20" fillId="0" borderId="0" xfId="0" applyNumberFormat="1" applyFont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0" fillId="0" borderId="37" xfId="0" applyFont="1" applyBorder="1" applyAlignment="1">
      <alignment vertical="center"/>
    </xf>
    <xf numFmtId="0" fontId="20" fillId="0" borderId="38" xfId="0" applyFont="1" applyBorder="1" applyAlignment="1">
      <alignment vertical="center"/>
    </xf>
    <xf numFmtId="0" fontId="20" fillId="0" borderId="30" xfId="0" applyFont="1" applyBorder="1" applyAlignment="1">
      <alignment vertical="center"/>
    </xf>
    <xf numFmtId="0" fontId="20" fillId="0" borderId="31" xfId="0" applyFont="1" applyBorder="1" applyAlignment="1">
      <alignment vertical="center"/>
    </xf>
    <xf numFmtId="0" fontId="20" fillId="0" borderId="30" xfId="0" applyFont="1" applyBorder="1" applyAlignment="1">
      <alignment vertical="center" wrapText="1"/>
    </xf>
    <xf numFmtId="0" fontId="20" fillId="0" borderId="31" xfId="0" applyFont="1" applyBorder="1" applyAlignment="1">
      <alignment horizontal="center" vertical="center" wrapText="1"/>
    </xf>
    <xf numFmtId="10" fontId="2" fillId="0" borderId="31" xfId="0" applyNumberFormat="1" applyFont="1" applyBorder="1" applyAlignment="1">
      <alignment horizontal="center" vertical="center" wrapText="1"/>
    </xf>
    <xf numFmtId="10" fontId="20" fillId="0" borderId="31" xfId="0" applyNumberFormat="1" applyFont="1" applyBorder="1" applyAlignment="1">
      <alignment horizontal="center" vertical="center" wrapText="1"/>
    </xf>
    <xf numFmtId="165" fontId="20" fillId="0" borderId="3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center" vertical="center" wrapText="1"/>
    </xf>
    <xf numFmtId="165" fontId="20" fillId="0" borderId="0" xfId="0" applyNumberFormat="1" applyFont="1" applyAlignment="1">
      <alignment horizontal="center" vertical="center" wrapText="1"/>
    </xf>
    <xf numFmtId="0" fontId="20" fillId="0" borderId="25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>
      <alignment horizontal="left" vertical="center"/>
    </xf>
    <xf numFmtId="0" fontId="2" fillId="0" borderId="35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165" fontId="20" fillId="0" borderId="0" xfId="0" applyNumberFormat="1" applyFont="1" applyAlignment="1">
      <alignment vertical="center"/>
    </xf>
    <xf numFmtId="0" fontId="2" fillId="0" borderId="39" xfId="0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30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vertical="center" wrapText="1"/>
    </xf>
    <xf numFmtId="2" fontId="21" fillId="0" borderId="0" xfId="0" applyNumberFormat="1" applyFont="1" applyAlignment="1">
      <alignment vertical="center" wrapText="1"/>
    </xf>
    <xf numFmtId="2" fontId="21" fillId="27" borderId="0" xfId="0" applyNumberFormat="1" applyFont="1" applyFill="1" applyAlignment="1">
      <alignment vertical="center" wrapText="1"/>
    </xf>
    <xf numFmtId="2" fontId="21" fillId="25" borderId="0" xfId="0" applyNumberFormat="1" applyFont="1" applyFill="1" applyAlignment="1">
      <alignment vertical="center" wrapText="1"/>
    </xf>
    <xf numFmtId="4" fontId="21" fillId="25" borderId="0" xfId="0" applyNumberFormat="1" applyFont="1" applyFill="1" applyAlignment="1">
      <alignment vertical="center" wrapText="1"/>
    </xf>
    <xf numFmtId="4" fontId="21" fillId="0" borderId="0" xfId="0" applyNumberFormat="1" applyFont="1" applyAlignment="1">
      <alignment vertical="center" wrapText="1"/>
    </xf>
    <xf numFmtId="2" fontId="2" fillId="0" borderId="0" xfId="0" applyNumberFormat="1" applyFont="1" applyAlignment="1">
      <alignment vertical="center" wrapText="1"/>
    </xf>
    <xf numFmtId="0" fontId="37" fillId="0" borderId="0" xfId="0" applyFont="1" applyAlignment="1">
      <alignment vertical="center" wrapText="1"/>
    </xf>
    <xf numFmtId="0" fontId="29" fillId="0" borderId="10" xfId="0" applyFont="1" applyBorder="1" applyAlignment="1">
      <alignment horizontal="center" vertical="center" wrapText="1"/>
    </xf>
    <xf numFmtId="0" fontId="35" fillId="0" borderId="0" xfId="0" applyFont="1" applyAlignment="1">
      <alignment vertical="center" wrapText="1"/>
    </xf>
    <xf numFmtId="49" fontId="20" fillId="0" borderId="30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49" fontId="20" fillId="0" borderId="31" xfId="0" applyNumberFormat="1" applyFont="1" applyBorder="1" applyAlignment="1">
      <alignment horizontal="center" vertical="center"/>
    </xf>
    <xf numFmtId="0" fontId="20" fillId="0" borderId="30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0" fontId="20" fillId="0" borderId="25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26" borderId="30" xfId="0" applyFont="1" applyFill="1" applyBorder="1" applyAlignment="1">
      <alignment horizontal="center" vertical="center"/>
    </xf>
    <xf numFmtId="0" fontId="20" fillId="26" borderId="10" xfId="0" applyFont="1" applyFill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31" xfId="0" applyNumberFormat="1" applyFont="1" applyBorder="1" applyAlignment="1">
      <alignment horizontal="center" vertical="center"/>
    </xf>
    <xf numFmtId="0" fontId="33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4" fontId="24" fillId="0" borderId="31" xfId="0" applyNumberFormat="1" applyFont="1" applyBorder="1" applyAlignment="1">
      <alignment horizontal="center" vertical="center" wrapText="1"/>
    </xf>
    <xf numFmtId="4" fontId="24" fillId="0" borderId="31" xfId="0" applyNumberFormat="1" applyFont="1" applyBorder="1" applyAlignment="1">
      <alignment horizontal="center" vertical="center"/>
    </xf>
    <xf numFmtId="0" fontId="20" fillId="0" borderId="3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 wrapText="1"/>
    </xf>
    <xf numFmtId="0" fontId="33" fillId="0" borderId="30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33" fillId="0" borderId="31" xfId="0" applyFont="1" applyBorder="1" applyAlignment="1">
      <alignment horizontal="center" vertical="center"/>
    </xf>
    <xf numFmtId="0" fontId="20" fillId="0" borderId="3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33" fillId="0" borderId="25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26" xfId="0" applyFont="1" applyBorder="1" applyAlignment="1">
      <alignment horizontal="center" vertical="center"/>
    </xf>
    <xf numFmtId="0" fontId="33" fillId="0" borderId="22" xfId="0" applyFont="1" applyBorder="1" applyAlignment="1">
      <alignment horizontal="center" vertical="center" wrapText="1"/>
    </xf>
    <xf numFmtId="0" fontId="33" fillId="0" borderId="23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center" vertical="center" wrapText="1"/>
    </xf>
    <xf numFmtId="0" fontId="33" fillId="0" borderId="37" xfId="0" applyFont="1" applyBorder="1" applyAlignment="1">
      <alignment horizontal="center" vertical="center" wrapText="1"/>
    </xf>
    <xf numFmtId="0" fontId="33" fillId="0" borderId="17" xfId="0" applyFont="1" applyBorder="1" applyAlignment="1">
      <alignment horizontal="center" vertical="center" wrapText="1"/>
    </xf>
    <xf numFmtId="0" fontId="33" fillId="0" borderId="38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/>
    </xf>
    <xf numFmtId="0" fontId="33" fillId="0" borderId="44" xfId="0" applyFont="1" applyBorder="1" applyAlignment="1">
      <alignment horizontal="center" vertical="center" wrapText="1"/>
    </xf>
    <xf numFmtId="0" fontId="33" fillId="0" borderId="21" xfId="0" applyFont="1" applyBorder="1" applyAlignment="1">
      <alignment horizontal="center" vertical="center" wrapText="1"/>
    </xf>
    <xf numFmtId="0" fontId="33" fillId="0" borderId="45" xfId="0" applyFont="1" applyBorder="1" applyAlignment="1">
      <alignment horizontal="center" vertical="center" wrapText="1"/>
    </xf>
    <xf numFmtId="0" fontId="20" fillId="0" borderId="44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left" vertical="center" wrapText="1"/>
    </xf>
    <xf numFmtId="0" fontId="20" fillId="0" borderId="30" xfId="0" applyFont="1" applyBorder="1" applyAlignment="1">
      <alignment horizontal="center" vertical="center"/>
    </xf>
  </cellXfs>
  <cellStyles count="46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Moeda" xfId="45" builtinId="4"/>
    <cellStyle name="Neutro" xfId="31" builtinId="28" customBuiltin="1"/>
    <cellStyle name="Normal" xfId="0" builtinId="0"/>
    <cellStyle name="Nota" xfId="32" builtinId="10" customBuiltin="1"/>
    <cellStyle name="Porcentagem" xfId="33" builtinId="5"/>
    <cellStyle name="Ruim" xfId="30" builtinId="27" customBuiltin="1"/>
    <cellStyle name="Saída" xfId="34" builtinId="21" customBuiltin="1"/>
    <cellStyle name="Texto de Aviso" xfId="36" builtinId="11" customBuiltin="1"/>
    <cellStyle name="Texto Explicativo" xfId="37" builtinId="53" customBuiltin="1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35" builtinId="3"/>
    <cellStyle name="Vírgula 4" xfId="44" xr:uid="{00000000-0005-0000-0000-00002C000000}"/>
  </cellStyles>
  <dxfs count="0"/>
  <tableStyles count="0" defaultTableStyle="TableStyleMedium9" defaultPivotStyle="PivotStyleLight16"/>
  <colors>
    <mruColors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337661</xdr:colOff>
      <xdr:row>0</xdr:row>
      <xdr:rowOff>126682</xdr:rowOff>
    </xdr:from>
    <xdr:to>
      <xdr:col>2</xdr:col>
      <xdr:colOff>714375</xdr:colOff>
      <xdr:row>0</xdr:row>
      <xdr:rowOff>1080569</xdr:rowOff>
    </xdr:to>
    <xdr:pic>
      <xdr:nvPicPr>
        <xdr:cNvPr id="2" name="Imagem 4">
          <a:extLst>
            <a:ext uri="{FF2B5EF4-FFF2-40B4-BE49-F238E27FC236}">
              <a16:creationId xmlns:a16="http://schemas.microsoft.com/office/drawing/2014/main" id="{94D0D113-4908-49F9-91BB-C21627CFEF25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0130" y="126682"/>
          <a:ext cx="1162526" cy="9538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0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1076960</xdr:colOff>
      <xdr:row>0</xdr:row>
      <xdr:rowOff>91440</xdr:rowOff>
    </xdr:from>
    <xdr:to>
      <xdr:col>1</xdr:col>
      <xdr:colOff>2244249</xdr:colOff>
      <xdr:row>0</xdr:row>
      <xdr:rowOff>1045327</xdr:rowOff>
    </xdr:to>
    <xdr:pic>
      <xdr:nvPicPr>
        <xdr:cNvPr id="4" name="Imagem 4">
          <a:extLst>
            <a:ext uri="{FF2B5EF4-FFF2-40B4-BE49-F238E27FC236}">
              <a16:creationId xmlns:a16="http://schemas.microsoft.com/office/drawing/2014/main" id="{A5578C18-B8E4-438D-A428-5918E40EE74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4480" y="91440"/>
          <a:ext cx="1167289" cy="9538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0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uario\Google%20Drive\DFT%20Projetos\PROJETOS\SERRANIA\PROJETOS\PRA&#199;A\PROJETO%20PRACA%20SETE%20ORELHAS\PLANILHA%20M+&#220;LTIPLA%202.3%20-%20RAND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 refreshError="1"/>
      <sheetData sheetId="1" refreshError="1"/>
      <sheetData sheetId="2" refreshError="1">
        <row r="29">
          <cell r="G29">
            <v>43009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tabColor rgb="FF92D050"/>
    <pageSetUpPr fitToPage="1"/>
  </sheetPr>
  <dimension ref="A1:V60"/>
  <sheetViews>
    <sheetView showGridLines="0" tabSelected="1" view="pageBreakPreview" zoomScale="80" zoomScaleNormal="75" zoomScaleSheetLayoutView="80" workbookViewId="0">
      <pane ySplit="10" topLeftCell="A38" activePane="bottomLeft" state="frozen"/>
      <selection pane="bottomLeft" activeCell="J49" sqref="J49"/>
    </sheetView>
  </sheetViews>
  <sheetFormatPr defaultColWidth="9.109375" defaultRowHeight="13.2" x14ac:dyDescent="0.25"/>
  <cols>
    <col min="1" max="1" width="10.21875" style="84" customWidth="1"/>
    <col min="2" max="2" width="11.5546875" style="3" customWidth="1"/>
    <col min="3" max="3" width="14" style="3" customWidth="1"/>
    <col min="4" max="4" width="71.21875" style="6" customWidth="1"/>
    <col min="5" max="5" width="11.33203125" style="3" customWidth="1"/>
    <col min="6" max="6" width="11.5546875" style="101" bestFit="1" customWidth="1"/>
    <col min="7" max="8" width="16.109375" style="80" bestFit="1" customWidth="1"/>
    <col min="9" max="9" width="19.77734375" style="83" customWidth="1"/>
    <col min="10" max="10" width="19.5546875" style="5" customWidth="1"/>
    <col min="11" max="11" width="21.33203125" style="3" customWidth="1"/>
    <col min="12" max="12" width="13.109375" style="123" bestFit="1" customWidth="1"/>
    <col min="13" max="13" width="13.109375" style="5" bestFit="1" customWidth="1"/>
    <col min="14" max="16384" width="9.109375" style="5"/>
  </cols>
  <sheetData>
    <row r="1" spans="1:17" ht="91.2" customHeight="1" x14ac:dyDescent="0.25">
      <c r="A1" s="242" t="s">
        <v>67</v>
      </c>
      <c r="B1" s="243"/>
      <c r="C1" s="243"/>
      <c r="D1" s="243"/>
      <c r="E1" s="243"/>
      <c r="F1" s="243"/>
      <c r="G1" s="243"/>
      <c r="H1" s="243"/>
      <c r="I1" s="244"/>
    </row>
    <row r="2" spans="1:17" x14ac:dyDescent="0.25">
      <c r="A2" s="255" t="s">
        <v>23</v>
      </c>
      <c r="B2" s="256"/>
      <c r="C2" s="256"/>
      <c r="D2" s="256"/>
      <c r="E2" s="256"/>
      <c r="F2" s="256"/>
      <c r="G2" s="256"/>
      <c r="H2" s="256"/>
      <c r="I2" s="257"/>
    </row>
    <row r="3" spans="1:17" x14ac:dyDescent="0.25">
      <c r="A3" s="255"/>
      <c r="B3" s="256"/>
      <c r="C3" s="256"/>
      <c r="D3" s="256"/>
      <c r="E3" s="256"/>
      <c r="F3" s="256"/>
      <c r="G3" s="256"/>
      <c r="H3" s="256"/>
      <c r="I3" s="257"/>
    </row>
    <row r="4" spans="1:17" ht="16.5" customHeight="1" x14ac:dyDescent="0.25">
      <c r="A4" s="233" t="s">
        <v>61</v>
      </c>
      <c r="B4" s="234"/>
      <c r="C4" s="234"/>
      <c r="D4" s="234"/>
      <c r="E4" s="234" t="str">
        <f>'MM CALC'!E3</f>
        <v>DATA: 23 DE MARÇO DE 2023</v>
      </c>
      <c r="F4" s="234"/>
      <c r="G4" s="234"/>
      <c r="H4" s="234"/>
      <c r="I4" s="258"/>
    </row>
    <row r="5" spans="1:17" x14ac:dyDescent="0.25">
      <c r="A5" s="253" t="str">
        <f>'MM CALC'!A4</f>
        <v xml:space="preserve">OBJETO: MANUTENÇÃO DAS INSTALAÇÕES FÍSICAS DA UBS CAMACÃ DE DIVISA  ALEGRE / MG </v>
      </c>
      <c r="B5" s="254"/>
      <c r="C5" s="254"/>
      <c r="D5" s="254"/>
      <c r="E5" s="246"/>
      <c r="F5" s="246"/>
      <c r="G5" s="246"/>
      <c r="H5" s="246"/>
      <c r="I5" s="247"/>
    </row>
    <row r="6" spans="1:17" ht="27.75" customHeight="1" x14ac:dyDescent="0.25">
      <c r="A6" s="249" t="str">
        <f>'MM CALC'!A5</f>
        <v>LOCAL:  RUA ROSENO PEREIRA SOUTO, BAIRRO CAMACÃ, DIVISA ALEGRE / MG</v>
      </c>
      <c r="B6" s="250"/>
      <c r="C6" s="250"/>
      <c r="D6" s="250"/>
      <c r="E6" s="245" t="s">
        <v>13</v>
      </c>
      <c r="F6" s="246"/>
      <c r="G6" s="248" t="s">
        <v>112</v>
      </c>
      <c r="H6" s="248"/>
      <c r="I6" s="251" t="s">
        <v>36</v>
      </c>
    </row>
    <row r="7" spans="1:17" x14ac:dyDescent="0.25">
      <c r="A7" s="249" t="s">
        <v>114</v>
      </c>
      <c r="B7" s="250"/>
      <c r="C7" s="250"/>
      <c r="D7" s="250"/>
      <c r="E7" s="21" t="s">
        <v>5</v>
      </c>
      <c r="F7" s="92" t="s">
        <v>3</v>
      </c>
      <c r="G7" s="248"/>
      <c r="H7" s="248"/>
      <c r="I7" s="252"/>
    </row>
    <row r="8" spans="1:17" x14ac:dyDescent="0.25">
      <c r="A8" s="233" t="s">
        <v>40</v>
      </c>
      <c r="B8" s="234"/>
      <c r="C8" s="234"/>
      <c r="D8" s="234"/>
      <c r="E8" s="21" t="s">
        <v>12</v>
      </c>
      <c r="F8" s="92" t="s">
        <v>4</v>
      </c>
      <c r="G8" s="82" t="s">
        <v>20</v>
      </c>
      <c r="H8" s="81">
        <v>0.24640000000000001</v>
      </c>
      <c r="I8" s="252"/>
    </row>
    <row r="9" spans="1:17" x14ac:dyDescent="0.25">
      <c r="A9" s="230"/>
      <c r="B9" s="231"/>
      <c r="C9" s="231"/>
      <c r="D9" s="231"/>
      <c r="E9" s="231"/>
      <c r="F9" s="231"/>
      <c r="G9" s="231"/>
      <c r="H9" s="231"/>
      <c r="I9" s="232"/>
    </row>
    <row r="10" spans="1:17" s="3" customFormat="1" ht="36.75" customHeight="1" x14ac:dyDescent="0.25">
      <c r="A10" s="114" t="s">
        <v>0</v>
      </c>
      <c r="B10" s="21" t="s">
        <v>9</v>
      </c>
      <c r="C10" s="21" t="s">
        <v>24</v>
      </c>
      <c r="D10" s="38" t="s">
        <v>1</v>
      </c>
      <c r="E10" s="21" t="s">
        <v>6</v>
      </c>
      <c r="F10" s="92" t="s">
        <v>7</v>
      </c>
      <c r="G10" s="4" t="s">
        <v>14</v>
      </c>
      <c r="H10" s="4" t="s">
        <v>15</v>
      </c>
      <c r="I10" s="115" t="s">
        <v>8</v>
      </c>
      <c r="L10" s="124"/>
    </row>
    <row r="11" spans="1:17" x14ac:dyDescent="0.25">
      <c r="A11" s="239"/>
      <c r="B11" s="240"/>
      <c r="C11" s="240"/>
      <c r="D11" s="240"/>
      <c r="E11" s="240"/>
      <c r="F11" s="240"/>
      <c r="G11" s="240"/>
      <c r="H11" s="240"/>
      <c r="I11" s="241"/>
    </row>
    <row r="12" spans="1:17" s="41" customFormat="1" ht="17.25" customHeight="1" x14ac:dyDescent="0.25">
      <c r="A12" s="116">
        <f>'MM CALC'!A9</f>
        <v>1</v>
      </c>
      <c r="B12" s="43"/>
      <c r="C12" s="43"/>
      <c r="D12" s="49" t="str">
        <f>'MM CALC'!D9</f>
        <v>SERVIÇOS PRELIMINARES</v>
      </c>
      <c r="E12" s="43"/>
      <c r="F12" s="46"/>
      <c r="G12" s="47"/>
      <c r="H12" s="47"/>
      <c r="I12" s="117">
        <f>SUM(I13)</f>
        <v>987.14879999999994</v>
      </c>
      <c r="J12" s="75">
        <f>I12</f>
        <v>987.14879999999994</v>
      </c>
      <c r="K12" s="40"/>
      <c r="L12" s="125"/>
      <c r="M12" s="108"/>
    </row>
    <row r="13" spans="1:17" s="10" customFormat="1" ht="26.4" x14ac:dyDescent="0.25">
      <c r="A13" s="118" t="str">
        <f>'MM CALC'!A10</f>
        <v>1.1</v>
      </c>
      <c r="B13" s="39" t="str">
        <f>'MM CALC'!B10</f>
        <v>SINAPI-I</v>
      </c>
      <c r="C13" s="39">
        <f>'MM CALC'!C10</f>
        <v>4813</v>
      </c>
      <c r="D13" s="42" t="str">
        <f>'MM CALC'!D10</f>
        <v xml:space="preserve">PLACA DE OBRA (PARA CONSTRUCAO CIVIL) EM CHAPA GALVANIZADA *N. 22*, ADESIVADA, DE *2,4 X 1,2* M (SEM POSTES PARA FIXACAO)  </v>
      </c>
      <c r="E13" s="25" t="str">
        <f>'MM CALC'!E10</f>
        <v xml:space="preserve">M2    </v>
      </c>
      <c r="F13" s="33">
        <f>'MM CALC'!F10</f>
        <v>2.88</v>
      </c>
      <c r="G13" s="34">
        <v>275</v>
      </c>
      <c r="H13" s="34">
        <f>ROUND(G13+(G13*$H$8),2)</f>
        <v>342.76</v>
      </c>
      <c r="I13" s="119">
        <f>H13*F13</f>
        <v>987.14879999999994</v>
      </c>
      <c r="J13" s="5"/>
      <c r="K13" s="20">
        <f>H13*F13</f>
        <v>987.14879999999994</v>
      </c>
      <c r="L13" s="126"/>
      <c r="Q13" s="128">
        <f>G13*1.2455</f>
        <v>342.51249999999999</v>
      </c>
    </row>
    <row r="14" spans="1:17" s="41" customFormat="1" x14ac:dyDescent="0.25">
      <c r="A14" s="116" t="str">
        <f>'MM CALC'!A11</f>
        <v>2</v>
      </c>
      <c r="B14" s="43"/>
      <c r="C14" s="43"/>
      <c r="D14" s="44" t="str">
        <f>'MM CALC'!D11</f>
        <v xml:space="preserve">MANUTENÇÃO DAS INSTALAÇÕES FÍSICAS DA UBS CAMACÃ </v>
      </c>
      <c r="E14" s="45"/>
      <c r="F14" s="46"/>
      <c r="G14" s="47"/>
      <c r="H14" s="47"/>
      <c r="I14" s="117">
        <f>I15+I19</f>
        <v>61666.468300000008</v>
      </c>
      <c r="J14" s="160"/>
      <c r="K14" s="161"/>
      <c r="L14" s="125"/>
      <c r="M14" s="108"/>
      <c r="Q14" s="162"/>
    </row>
    <row r="15" spans="1:17" s="77" customFormat="1" ht="17.25" customHeight="1" x14ac:dyDescent="0.25">
      <c r="A15" s="120" t="str">
        <f>'MM CALC'!A12</f>
        <v>2.1</v>
      </c>
      <c r="B15" s="110"/>
      <c r="C15" s="110"/>
      <c r="D15" s="111" t="str">
        <f>'MM CALC'!D12</f>
        <v>DEMOLIÇÃO / REMOÇÃO</v>
      </c>
      <c r="E15" s="112"/>
      <c r="F15" s="99"/>
      <c r="G15" s="50"/>
      <c r="H15" s="50"/>
      <c r="I15" s="121">
        <f>SUM(I16:I18)</f>
        <v>1124.8775000000001</v>
      </c>
      <c r="J15" s="113">
        <f>I15</f>
        <v>1124.8775000000001</v>
      </c>
      <c r="K15" s="163"/>
      <c r="L15" s="106">
        <f>K16+K17+K18</f>
        <v>1124.8775000000001</v>
      </c>
      <c r="Q15" s="164"/>
    </row>
    <row r="16" spans="1:17" s="10" customFormat="1" ht="26.4" x14ac:dyDescent="0.25">
      <c r="A16" s="118" t="str">
        <f>'MM CALC'!A13</f>
        <v>2.1.1</v>
      </c>
      <c r="B16" s="39" t="str">
        <f>'MM CALC'!B13</f>
        <v>SINAPI</v>
      </c>
      <c r="C16" s="39">
        <f>'MM CALC'!C13</f>
        <v>97622</v>
      </c>
      <c r="D16" s="42" t="str">
        <f>'MM CALC'!D13</f>
        <v>DEMOLIÇÃO DE ALVENARIA DE BLOCO FURADO, DE FORMA MANUAL, SEM REAPROVEITAMENTO. AF_12/2017</v>
      </c>
      <c r="E16" s="25" t="str">
        <f>'MM CALC'!E13</f>
        <v>M3</v>
      </c>
      <c r="F16" s="33">
        <f>'MM CALC'!F13</f>
        <v>0.24</v>
      </c>
      <c r="G16" s="34">
        <v>52.1</v>
      </c>
      <c r="H16" s="34">
        <f t="shared" ref="H16" si="0">ROUND(G16+(G16*$H$8),2)</f>
        <v>64.94</v>
      </c>
      <c r="I16" s="119">
        <f>H16*F16</f>
        <v>15.585599999999999</v>
      </c>
      <c r="J16" s="5"/>
      <c r="K16" s="20">
        <f>H16*F16</f>
        <v>15.585599999999999</v>
      </c>
      <c r="L16" s="107"/>
      <c r="Q16" s="128">
        <f t="shared" ref="Q16:Q40" si="1">G16*1.2455</f>
        <v>64.890550000000005</v>
      </c>
    </row>
    <row r="17" spans="1:17" s="10" customFormat="1" ht="26.4" x14ac:dyDescent="0.25">
      <c r="A17" s="118" t="str">
        <f>'MM CALC'!A14</f>
        <v>2.1.2</v>
      </c>
      <c r="B17" s="39" t="str">
        <f>'MM CALC'!B14</f>
        <v>SINAPI</v>
      </c>
      <c r="C17" s="39">
        <f>'MM CALC'!C14</f>
        <v>97644</v>
      </c>
      <c r="D17" s="42" t="str">
        <f>'MM CALC'!D14</f>
        <v>REMOÇÃO DE PORTAS, DE FORMA MANUAL, SEM REAPROVEITAMENTO. AF_12/2017</v>
      </c>
      <c r="E17" s="25" t="str">
        <f>'MM CALC'!E14</f>
        <v>M2</v>
      </c>
      <c r="F17" s="25">
        <f>'MM CALC'!F14</f>
        <v>9.58</v>
      </c>
      <c r="G17" s="34">
        <v>8.6999999999999993</v>
      </c>
      <c r="H17" s="34">
        <f t="shared" ref="H17:H23" si="2">ROUND(G17+(G17*$H$8),2)</f>
        <v>10.84</v>
      </c>
      <c r="I17" s="119">
        <f t="shared" ref="I17:I18" si="3">H17*F17</f>
        <v>103.8472</v>
      </c>
      <c r="J17" s="5"/>
      <c r="K17" s="20">
        <f t="shared" ref="K17:K41" si="4">H17*F17</f>
        <v>103.8472</v>
      </c>
      <c r="L17" s="107"/>
      <c r="Q17" s="128">
        <f t="shared" si="1"/>
        <v>10.835849999999999</v>
      </c>
    </row>
    <row r="18" spans="1:17" s="10" customFormat="1" ht="26.4" x14ac:dyDescent="0.25">
      <c r="A18" s="118" t="str">
        <f>'MM CALC'!A15</f>
        <v>2.1.3</v>
      </c>
      <c r="B18" s="39" t="str">
        <f>'MM CALC'!B15</f>
        <v>SINAPI</v>
      </c>
      <c r="C18" s="39">
        <f>'MM CALC'!C15</f>
        <v>97647</v>
      </c>
      <c r="D18" s="42" t="str">
        <f>'MM CALC'!D15</f>
        <v>REMOÇÃO DE TELHAS, DE FIBROCIMENTO, METÁLICA E CERÂMICA, DE FORMA MANUAL, SEM REAPROVEITAMENTO. AF_12/2017</v>
      </c>
      <c r="E18" s="25" t="str">
        <f>'MM CALC'!E15</f>
        <v>M2</v>
      </c>
      <c r="F18" s="25">
        <f>'MM CALC'!F15</f>
        <v>249.49</v>
      </c>
      <c r="G18" s="34">
        <v>3.23</v>
      </c>
      <c r="H18" s="34">
        <f t="shared" ref="H18" si="5">ROUND(G18+(G18*$H$8),2)</f>
        <v>4.03</v>
      </c>
      <c r="I18" s="119">
        <f t="shared" si="3"/>
        <v>1005.4447000000001</v>
      </c>
      <c r="J18" s="5"/>
      <c r="K18" s="20">
        <f t="shared" si="4"/>
        <v>1005.4447000000001</v>
      </c>
      <c r="L18" s="107"/>
      <c r="Q18" s="128"/>
    </row>
    <row r="19" spans="1:17" s="41" customFormat="1" ht="26.4" x14ac:dyDescent="0.25">
      <c r="A19" s="116" t="str">
        <f>'MM CALC'!A16</f>
        <v>2.2</v>
      </c>
      <c r="B19" s="43"/>
      <c r="C19" s="43"/>
      <c r="D19" s="44" t="str">
        <f>'MM CALC'!D16</f>
        <v>VEDAÇÕES, PISOS, COBERTURAS, ESQUADRIAS, ACABAMENTOS E ACESSÓRIOS</v>
      </c>
      <c r="E19" s="45"/>
      <c r="F19" s="46"/>
      <c r="G19" s="47"/>
      <c r="H19" s="47"/>
      <c r="I19" s="117">
        <f>I20+I24+I26+I31+I36</f>
        <v>60541.590800000005</v>
      </c>
      <c r="J19" s="48"/>
      <c r="K19" s="109"/>
      <c r="L19" s="125"/>
      <c r="Q19" s="128"/>
    </row>
    <row r="20" spans="1:17" s="77" customFormat="1" x14ac:dyDescent="0.25">
      <c r="A20" s="120" t="str">
        <f>'MM CALC'!A17</f>
        <v>2.2.1</v>
      </c>
      <c r="B20" s="110"/>
      <c r="C20" s="110"/>
      <c r="D20" s="111" t="str">
        <f>'MM CALC'!D17</f>
        <v>ALVENARIAS/REVESTIMENTOS</v>
      </c>
      <c r="E20" s="112"/>
      <c r="F20" s="99"/>
      <c r="G20" s="50"/>
      <c r="H20" s="50"/>
      <c r="I20" s="121">
        <f>SUM(I21:I23)</f>
        <v>1047.7323999999999</v>
      </c>
      <c r="J20" s="113">
        <f>I20</f>
        <v>1047.7323999999999</v>
      </c>
      <c r="K20" s="20"/>
      <c r="L20" s="106">
        <f>K21+K22+K23</f>
        <v>1047.7323999999999</v>
      </c>
      <c r="Q20" s="128"/>
    </row>
    <row r="21" spans="1:17" s="76" customFormat="1" ht="39.6" x14ac:dyDescent="0.25">
      <c r="A21" s="118" t="str">
        <f>'MM CALC'!A18</f>
        <v>2.2.1.1</v>
      </c>
      <c r="B21" s="39" t="str">
        <f>'MM CALC'!B18</f>
        <v>SINAPI</v>
      </c>
      <c r="C21" s="39">
        <f>'MM CALC'!C18</f>
        <v>103323</v>
      </c>
      <c r="D21" s="42" t="str">
        <f>'MM CALC'!D18</f>
        <v>ALVENARIA DE VEDAÇÃO DE BLOCOS CERÂMICOS FURADOS NA VERTICAL DE 9X19X39 CM (ESPESSURA 9 CM) E ARGAMASSA DE ASSENTAMENTO COM PREPARO MANUAL. AF_12/2021</v>
      </c>
      <c r="E21" s="25" t="str">
        <f>'MM CALC'!E18</f>
        <v>M2</v>
      </c>
      <c r="F21" s="33">
        <f>'MM CALC'!F18</f>
        <v>5.59</v>
      </c>
      <c r="G21" s="34">
        <v>57.56</v>
      </c>
      <c r="H21" s="34">
        <f t="shared" si="2"/>
        <v>71.739999999999995</v>
      </c>
      <c r="I21" s="119">
        <f t="shared" ref="I21:I41" si="6">H21*F21</f>
        <v>401.02659999999997</v>
      </c>
      <c r="J21" s="74"/>
      <c r="K21" s="20">
        <f t="shared" si="4"/>
        <v>401.02659999999997</v>
      </c>
      <c r="L21" s="106"/>
      <c r="Q21" s="128">
        <f t="shared" si="1"/>
        <v>71.69098000000001</v>
      </c>
    </row>
    <row r="22" spans="1:17" s="37" customFormat="1" ht="39.6" x14ac:dyDescent="0.25">
      <c r="A22" s="118" t="str">
        <f>'MM CALC'!A19</f>
        <v>2.2.1.2</v>
      </c>
      <c r="B22" s="39" t="str">
        <f>'MM CALC'!B19</f>
        <v>SINAPI</v>
      </c>
      <c r="C22" s="39">
        <f>'MM CALC'!C19</f>
        <v>87878</v>
      </c>
      <c r="D22" s="42" t="str">
        <f>'MM CALC'!D19</f>
        <v>CHAPISCO APLICADO EM ALVENARIAS E ESTRUTURAS DE CONCRETO INTERNAS, COM COLHER DE PEDREIRO.  ARGAMASSA TRAÇO 1:3 COM PREPARO MANUAL. AF_10/2022</v>
      </c>
      <c r="E22" s="25" t="str">
        <f>'MM CALC'!E19</f>
        <v>M2</v>
      </c>
      <c r="F22" s="33">
        <f>'MM CALC'!F19</f>
        <v>11.31</v>
      </c>
      <c r="G22" s="34">
        <v>4.7300000000000004</v>
      </c>
      <c r="H22" s="34">
        <f t="shared" si="2"/>
        <v>5.9</v>
      </c>
      <c r="I22" s="119">
        <f t="shared" si="6"/>
        <v>66.729000000000013</v>
      </c>
      <c r="J22" s="36"/>
      <c r="K22" s="20">
        <f t="shared" si="4"/>
        <v>66.729000000000013</v>
      </c>
      <c r="L22" s="106"/>
      <c r="Q22" s="128">
        <f t="shared" si="1"/>
        <v>5.8912150000000008</v>
      </c>
    </row>
    <row r="23" spans="1:17" s="10" customFormat="1" ht="52.8" x14ac:dyDescent="0.25">
      <c r="A23" s="118" t="str">
        <f>'MM CALC'!A20</f>
        <v>2.2.1.3</v>
      </c>
      <c r="B23" s="39" t="str">
        <f>'MM CALC'!B20</f>
        <v>SINAPI</v>
      </c>
      <c r="C23" s="39">
        <f>'MM CALC'!C20</f>
        <v>87530</v>
      </c>
      <c r="D23" s="42" t="str">
        <f>'MM CALC'!D20</f>
        <v>MASSA ÚNICA, PARA RECEBIMENTO DE PINTURA, EM ARGAMASSA TRAÇO 1:2:8, PREPARO MANUAL, APLICADA MANUALMENTE EM FACES INTERNAS DE PAREDES, ESPESSURA DE 20MM, COM EXECUÇÃO DE TALISCAS. AF_06/2014</v>
      </c>
      <c r="E23" s="25" t="str">
        <f>'MM CALC'!E20</f>
        <v>M2</v>
      </c>
      <c r="F23" s="33">
        <f>'MM CALC'!F20</f>
        <v>11.31</v>
      </c>
      <c r="G23" s="34">
        <v>41.14</v>
      </c>
      <c r="H23" s="34">
        <f t="shared" si="2"/>
        <v>51.28</v>
      </c>
      <c r="I23" s="119">
        <f t="shared" si="6"/>
        <v>579.97680000000003</v>
      </c>
      <c r="J23" s="5"/>
      <c r="K23" s="20">
        <f t="shared" si="4"/>
        <v>579.97680000000003</v>
      </c>
      <c r="L23" s="106"/>
      <c r="Q23" s="128">
        <f t="shared" si="1"/>
        <v>51.239870000000003</v>
      </c>
    </row>
    <row r="24" spans="1:17" s="41" customFormat="1" x14ac:dyDescent="0.25">
      <c r="A24" s="116" t="str">
        <f>'MM CALC'!A21</f>
        <v>2.2.2</v>
      </c>
      <c r="B24" s="43"/>
      <c r="C24" s="43"/>
      <c r="D24" s="44" t="str">
        <f>'MM CALC'!D21</f>
        <v>PISOS</v>
      </c>
      <c r="E24" s="45"/>
      <c r="F24" s="46"/>
      <c r="G24" s="47"/>
      <c r="H24" s="47"/>
      <c r="I24" s="117">
        <f>I25</f>
        <v>238.56</v>
      </c>
      <c r="J24" s="75">
        <f>H25*F25</f>
        <v>238.56</v>
      </c>
      <c r="K24" s="109"/>
      <c r="L24" s="106">
        <f>K25</f>
        <v>238.56</v>
      </c>
      <c r="Q24" s="162"/>
    </row>
    <row r="25" spans="1:17" s="10" customFormat="1" ht="39.6" x14ac:dyDescent="0.25">
      <c r="A25" s="118" t="str">
        <f>'MM CALC'!A22</f>
        <v>2.2.2.1</v>
      </c>
      <c r="B25" s="39" t="str">
        <f>'MM CALC'!B22</f>
        <v>SINAPI</v>
      </c>
      <c r="C25" s="39">
        <f>'MM CALC'!C22</f>
        <v>94990</v>
      </c>
      <c r="D25" s="42" t="str">
        <f>'MM CALC'!D22</f>
        <v>EXECUÇÃO DE PASSEIO (CALÇADA) OU PISO DE CONCRETO COM CONCRETO MOLDADO IN LOCO, FEITO EM OBRA, ACABAMENTO CONVENCIONAL, NÃO ARMADO. AF_08/2022</v>
      </c>
      <c r="E25" s="25" t="str">
        <f>'MM CALC'!E22</f>
        <v>M3</v>
      </c>
      <c r="F25" s="33">
        <f>'MM CALC'!F22</f>
        <v>0.25</v>
      </c>
      <c r="G25" s="34">
        <v>765.6</v>
      </c>
      <c r="H25" s="34">
        <f t="shared" ref="H25" si="7">ROUND(G25+(G25*$H$8),2)</f>
        <v>954.24</v>
      </c>
      <c r="I25" s="119">
        <f t="shared" si="6"/>
        <v>238.56</v>
      </c>
      <c r="J25" s="5"/>
      <c r="K25" s="20">
        <f>H25*F25</f>
        <v>238.56</v>
      </c>
      <c r="L25" s="106"/>
      <c r="Q25" s="128"/>
    </row>
    <row r="26" spans="1:17" s="77" customFormat="1" x14ac:dyDescent="0.25">
      <c r="A26" s="120" t="str">
        <f>'MM CALC'!A23</f>
        <v>2.2.3</v>
      </c>
      <c r="B26" s="110"/>
      <c r="C26" s="110"/>
      <c r="D26" s="111" t="str">
        <f>'MM CALC'!D23</f>
        <v>COBERTURA</v>
      </c>
      <c r="E26" s="112"/>
      <c r="F26" s="99"/>
      <c r="G26" s="50"/>
      <c r="H26" s="50"/>
      <c r="I26" s="121">
        <f>SUM(I27:I30)</f>
        <v>31461.624000000003</v>
      </c>
      <c r="J26" s="113">
        <f>I26</f>
        <v>31461.624000000003</v>
      </c>
      <c r="K26" s="20"/>
      <c r="L26" s="106">
        <f>K30+K29+K28+K27</f>
        <v>31461.624000000003</v>
      </c>
      <c r="Q26" s="128"/>
    </row>
    <row r="27" spans="1:17" s="11" customFormat="1" ht="26.4" x14ac:dyDescent="0.25">
      <c r="A27" s="216" t="str">
        <f>'MM CALC'!A24</f>
        <v>2.2.3.1</v>
      </c>
      <c r="B27" s="39" t="str">
        <f>'MM CALC'!B24</f>
        <v>SINAPI</v>
      </c>
      <c r="C27" s="39">
        <f>'MM CALC'!C24</f>
        <v>94227</v>
      </c>
      <c r="D27" s="42" t="str">
        <f>'MM CALC'!D24</f>
        <v>CALHA EM CHAPA DE AÇO GALVANIZADO NÚMERO 24, DESENVOLVIMENTO DE 33 CM, INCLUSO TRANSPORTE VERTICAL. AF_07/2019</v>
      </c>
      <c r="E27" s="39" t="str">
        <f>'MM CALC'!E24</f>
        <v>M</v>
      </c>
      <c r="F27" s="217">
        <f>'MM CALC'!F24</f>
        <v>32.299999999999997</v>
      </c>
      <c r="G27" s="34">
        <v>74.78</v>
      </c>
      <c r="H27" s="34">
        <f t="shared" ref="H27:H28" si="8">ROUND(G27+(G27*$H$8),2)</f>
        <v>93.21</v>
      </c>
      <c r="I27" s="119">
        <f t="shared" si="6"/>
        <v>3010.6829999999995</v>
      </c>
      <c r="J27" s="215"/>
      <c r="K27" s="20">
        <f t="shared" si="4"/>
        <v>3010.6829999999995</v>
      </c>
      <c r="L27" s="107"/>
      <c r="Q27" s="128"/>
    </row>
    <row r="28" spans="1:17" s="11" customFormat="1" ht="39.6" customHeight="1" x14ac:dyDescent="0.25">
      <c r="A28" s="216" t="str">
        <f>'MM CALC'!A25</f>
        <v>2.2.3.2</v>
      </c>
      <c r="B28" s="39" t="str">
        <f>'MM CALC'!B25</f>
        <v>SINAPI</v>
      </c>
      <c r="C28" s="39">
        <f>'MM CALC'!C25</f>
        <v>94231</v>
      </c>
      <c r="D28" s="42" t="str">
        <f>'MM CALC'!D25</f>
        <v>RUFO EM CHAPA DE AÇO GALVANIZADO NÚMERO 24, CORTE DE 25 CM, INCLUSO TRANSPORTE VERTICAL. AF_07/2019</v>
      </c>
      <c r="E28" s="39" t="str">
        <f>'MM CALC'!E25</f>
        <v>M</v>
      </c>
      <c r="F28" s="217">
        <f>'MM CALC'!F25</f>
        <v>60.4</v>
      </c>
      <c r="G28" s="34">
        <v>59.27</v>
      </c>
      <c r="H28" s="34">
        <f t="shared" si="8"/>
        <v>73.87</v>
      </c>
      <c r="I28" s="119">
        <f t="shared" si="6"/>
        <v>4461.7480000000005</v>
      </c>
      <c r="J28" s="215"/>
      <c r="K28" s="20">
        <f t="shared" si="4"/>
        <v>4461.7480000000005</v>
      </c>
      <c r="L28" s="107"/>
      <c r="Q28" s="128"/>
    </row>
    <row r="29" spans="1:17" s="77" customFormat="1" ht="26.4" x14ac:dyDescent="0.25">
      <c r="A29" s="118" t="str">
        <f>'MM CALC'!A26</f>
        <v>2.2.3.3</v>
      </c>
      <c r="B29" s="39" t="str">
        <f>'MM CALC'!B26</f>
        <v>SINAPI</v>
      </c>
      <c r="C29" s="39">
        <f>'MM CALC'!C26</f>
        <v>94213</v>
      </c>
      <c r="D29" s="42" t="str">
        <f>'MM CALC'!D26</f>
        <v>TELHAMENTO COM TELHA DE AÇO/ALUMÍNIO E = 0,5 MM, COM ATÉ 2 ÁGUAS, INCLUSO IÇAMENTO. AF_07/2019</v>
      </c>
      <c r="E29" s="25" t="str">
        <f>'MM CALC'!E26</f>
        <v>M2</v>
      </c>
      <c r="F29" s="33">
        <f>'MM CALC'!F26</f>
        <v>249.49</v>
      </c>
      <c r="G29" s="34">
        <v>67.599999999999994</v>
      </c>
      <c r="H29" s="34">
        <f t="shared" ref="H29" si="9">ROUND(G29+(G29*$H$8),2)</f>
        <v>84.26</v>
      </c>
      <c r="I29" s="119">
        <f t="shared" si="6"/>
        <v>21022.027400000003</v>
      </c>
      <c r="J29" s="113"/>
      <c r="K29" s="20">
        <f t="shared" si="4"/>
        <v>21022.027400000003</v>
      </c>
      <c r="L29" s="106"/>
      <c r="Q29" s="128"/>
    </row>
    <row r="30" spans="1:17" s="10" customFormat="1" ht="26.4" x14ac:dyDescent="0.25">
      <c r="A30" s="118" t="str">
        <f>'MM CALC'!A27</f>
        <v>2.2.3.4</v>
      </c>
      <c r="B30" s="39" t="str">
        <f>'MM CALC'!B27</f>
        <v>SINAPI-I</v>
      </c>
      <c r="C30" s="39">
        <f>'MM CALC'!C27</f>
        <v>34348</v>
      </c>
      <c r="D30" s="42" t="str">
        <f>'MM CALC'!D27</f>
        <v xml:space="preserve">CONCERTINA CLIPADA (DUPLA) EM ACO GALVANIZADO DE ALTA RESISTENCIA, COM ESPIRAL DE 300 MM, D = 2,76 MM    </v>
      </c>
      <c r="E30" s="25" t="str">
        <f>'MM CALC'!E27</f>
        <v>M</v>
      </c>
      <c r="F30" s="33">
        <f>'MM CALC'!F27</f>
        <v>87.76</v>
      </c>
      <c r="G30" s="34">
        <v>27.13</v>
      </c>
      <c r="H30" s="34">
        <f t="shared" ref="H30" si="10">ROUND(G30+(G30*$H$8),2)</f>
        <v>33.81</v>
      </c>
      <c r="I30" s="119">
        <f t="shared" si="6"/>
        <v>2967.1656000000003</v>
      </c>
      <c r="J30" s="5"/>
      <c r="K30" s="20">
        <f t="shared" si="4"/>
        <v>2967.1656000000003</v>
      </c>
      <c r="L30" s="106"/>
      <c r="Q30" s="128">
        <f t="shared" si="1"/>
        <v>33.790415000000003</v>
      </c>
    </row>
    <row r="31" spans="1:17" s="77" customFormat="1" x14ac:dyDescent="0.25">
      <c r="A31" s="120" t="str">
        <f>'MM CALC'!A28</f>
        <v>2.2.4</v>
      </c>
      <c r="B31" s="110"/>
      <c r="C31" s="110"/>
      <c r="D31" s="111" t="str">
        <f>'MM CALC'!D28</f>
        <v>PINTURA</v>
      </c>
      <c r="E31" s="112"/>
      <c r="F31" s="99"/>
      <c r="G31" s="50"/>
      <c r="H31" s="50"/>
      <c r="I31" s="121">
        <f>SUM(I32:I35)</f>
        <v>17742.399600000001</v>
      </c>
      <c r="J31" s="113">
        <f>I31</f>
        <v>17742.399600000001</v>
      </c>
      <c r="K31" s="20"/>
      <c r="L31" s="106">
        <f>K32+K33+K34+K35</f>
        <v>17742.399600000001</v>
      </c>
      <c r="Q31" s="128"/>
    </row>
    <row r="32" spans="1:17" s="11" customFormat="1" ht="26.4" x14ac:dyDescent="0.25">
      <c r="A32" s="118" t="str">
        <f>'MM CALC'!A29</f>
        <v>2.2.4.1</v>
      </c>
      <c r="B32" s="39" t="str">
        <f>'MM CALC'!B29</f>
        <v>SINAPI</v>
      </c>
      <c r="C32" s="39">
        <f>'MM CALC'!C29</f>
        <v>88489</v>
      </c>
      <c r="D32" s="42" t="str">
        <f>'MM CALC'!D29</f>
        <v>APLICAÇÃO MANUAL DE PINTURA COM TINTA LÁTEX ACRÍLICA EM PAREDES, DUAS DEMÃOS. AF_06/2014 (PINTURA INTERNA E EXTERNA)</v>
      </c>
      <c r="E32" s="25" t="str">
        <f>'MM CALC'!E29</f>
        <v>M2</v>
      </c>
      <c r="F32" s="33">
        <f>'MM CALC'!F29</f>
        <v>690.12</v>
      </c>
      <c r="G32" s="34">
        <v>14.38</v>
      </c>
      <c r="H32" s="34">
        <f t="shared" ref="H32:H33" si="11">ROUND(G32+(G32*$H$8),2)</f>
        <v>17.920000000000002</v>
      </c>
      <c r="I32" s="119">
        <f t="shared" si="6"/>
        <v>12366.950400000002</v>
      </c>
      <c r="J32" s="5"/>
      <c r="K32" s="20">
        <f t="shared" si="4"/>
        <v>12366.950400000002</v>
      </c>
      <c r="L32" s="106"/>
      <c r="Q32" s="128">
        <f t="shared" si="1"/>
        <v>17.910290000000003</v>
      </c>
    </row>
    <row r="33" spans="1:17" s="10" customFormat="1" ht="26.4" x14ac:dyDescent="0.25">
      <c r="A33" s="118" t="str">
        <f>'MM CALC'!A30</f>
        <v>2.2.4.2</v>
      </c>
      <c r="B33" s="39" t="str">
        <f>'MM CALC'!B30</f>
        <v>SINAPI</v>
      </c>
      <c r="C33" s="39">
        <f>'MM CALC'!C30</f>
        <v>88489</v>
      </c>
      <c r="D33" s="42" t="str">
        <f>'MM CALC'!D30</f>
        <v>APLICAÇÃO MANUAL DE PINTURA COM TINTA LÁTEX ACRÍLICA EM PAREDES, DUAS DEMÃOS. AF_06/2014 (PINTURA BANCADA RECEPÇÃO)</v>
      </c>
      <c r="E33" s="25" t="str">
        <f>'MM CALC'!E30</f>
        <v>M2</v>
      </c>
      <c r="F33" s="33">
        <f>'MM CALC'!F30</f>
        <v>3.61</v>
      </c>
      <c r="G33" s="34">
        <v>14.38</v>
      </c>
      <c r="H33" s="34">
        <f t="shared" si="11"/>
        <v>17.920000000000002</v>
      </c>
      <c r="I33" s="119">
        <f t="shared" si="6"/>
        <v>64.691200000000009</v>
      </c>
      <c r="J33" s="5"/>
      <c r="K33" s="20">
        <f t="shared" si="4"/>
        <v>64.691200000000009</v>
      </c>
      <c r="L33" s="106"/>
      <c r="Q33" s="128">
        <f t="shared" si="1"/>
        <v>17.910290000000003</v>
      </c>
    </row>
    <row r="34" spans="1:17" s="10" customFormat="1" ht="26.4" x14ac:dyDescent="0.25">
      <c r="A34" s="118" t="str">
        <f>'MM CALC'!A31</f>
        <v>2.2.4.3</v>
      </c>
      <c r="B34" s="39" t="str">
        <f>'MM CALC'!B31</f>
        <v>SINAPI</v>
      </c>
      <c r="C34" s="39">
        <f>'MM CALC'!C31</f>
        <v>88488</v>
      </c>
      <c r="D34" s="42" t="str">
        <f>'MM CALC'!D31</f>
        <v>APLICAÇÃO MANUAL DE PINTURA COM TINTA LÁTEX ACRÍLICA EM TETO, DUAS DEMÃOS. AF_06/2014</v>
      </c>
      <c r="E34" s="25" t="str">
        <f>'MM CALC'!E31</f>
        <v>M2</v>
      </c>
      <c r="F34" s="33">
        <f>'MM CALC'!F31</f>
        <v>154.16999999999999</v>
      </c>
      <c r="G34" s="34">
        <v>16.41</v>
      </c>
      <c r="H34" s="34">
        <f t="shared" ref="H34" si="12">ROUND(G34+(G34*$H$8),2)</f>
        <v>20.45</v>
      </c>
      <c r="I34" s="119">
        <f t="shared" si="6"/>
        <v>3152.7764999999995</v>
      </c>
      <c r="J34" s="5"/>
      <c r="K34" s="20">
        <f t="shared" si="4"/>
        <v>3152.7764999999995</v>
      </c>
      <c r="L34" s="106"/>
      <c r="Q34" s="128"/>
    </row>
    <row r="35" spans="1:17" s="10" customFormat="1" ht="39.6" customHeight="1" x14ac:dyDescent="0.25">
      <c r="A35" s="118" t="str">
        <f>'MM CALC'!A32</f>
        <v>2.2.4.4</v>
      </c>
      <c r="B35" s="39" t="str">
        <f>'MM CALC'!B32</f>
        <v>SINAPI</v>
      </c>
      <c r="C35" s="39">
        <f>'MM CALC'!C32</f>
        <v>102220</v>
      </c>
      <c r="D35" s="42" t="str">
        <f>'MM CALC'!D32</f>
        <v>PINTURA TINTA DE ACABAMENTO (PIGMENTADA) ESMALTE SINTÉTICO BRILHANTE EM MADEIRA, 2 DEMÃOS. AF_01/2021</v>
      </c>
      <c r="E35" s="25" t="str">
        <f>'MM CALC'!E32</f>
        <v>M2</v>
      </c>
      <c r="F35" s="33">
        <f>'MM CALC'!F32</f>
        <v>107.63</v>
      </c>
      <c r="G35" s="34">
        <v>16.09</v>
      </c>
      <c r="H35" s="34">
        <f t="shared" ref="H35" si="13">ROUND(G35+(G35*$H$8),2)</f>
        <v>20.05</v>
      </c>
      <c r="I35" s="119">
        <f t="shared" si="6"/>
        <v>2157.9814999999999</v>
      </c>
      <c r="J35" s="5"/>
      <c r="K35" s="20">
        <f t="shared" si="4"/>
        <v>2157.9814999999999</v>
      </c>
      <c r="L35" s="106"/>
      <c r="Q35" s="128"/>
    </row>
    <row r="36" spans="1:17" s="77" customFormat="1" x14ac:dyDescent="0.25">
      <c r="A36" s="120" t="str">
        <f>'MM CALC'!A33</f>
        <v>2.2.5</v>
      </c>
      <c r="B36" s="110"/>
      <c r="C36" s="110"/>
      <c r="D36" s="111" t="str">
        <f>'MM CALC'!D33</f>
        <v>ESQUADRIAS E ACESSÓRIOS</v>
      </c>
      <c r="E36" s="112"/>
      <c r="F36" s="99"/>
      <c r="G36" s="50"/>
      <c r="H36" s="50"/>
      <c r="I36" s="121">
        <f>SUM(I37:I41)</f>
        <v>10051.274800000001</v>
      </c>
      <c r="J36" s="113">
        <f>I36</f>
        <v>10051.274800000001</v>
      </c>
      <c r="K36" s="20"/>
      <c r="L36" s="106">
        <f>K38+K39+K40+K41</f>
        <v>8781.4048000000003</v>
      </c>
      <c r="Q36" s="128"/>
    </row>
    <row r="37" spans="1:17" s="77" customFormat="1" ht="39.6" x14ac:dyDescent="0.25">
      <c r="A37" s="118" t="str">
        <f>'MM CALC'!A34</f>
        <v>2.2.5.1</v>
      </c>
      <c r="B37" s="39" t="str">
        <f>'MM CALC'!B34</f>
        <v>SINAPI</v>
      </c>
      <c r="C37" s="39">
        <f>'MM CALC'!C34</f>
        <v>90822</v>
      </c>
      <c r="D37" s="42" t="str">
        <f>'MM CALC'!D34</f>
        <v>PORTA DE MADEIRA PARA PINTURA, SEMI-OCA (LEVE OU MÉDIA), 80X210CM, ESPESSURA DE 3,5CM, INCLUSO DOBRADIÇAS - FORNECIMENTO E INSTALAÇÃO. AF_12/2019</v>
      </c>
      <c r="E37" s="25" t="str">
        <f>'MM CALC'!E34</f>
        <v>UNID</v>
      </c>
      <c r="F37" s="33">
        <f>'MM CALC'!F34</f>
        <v>3</v>
      </c>
      <c r="G37" s="34">
        <v>339.61</v>
      </c>
      <c r="H37" s="34">
        <f t="shared" ref="H37" si="14">ROUND(G37+(G37*$H$8),2)</f>
        <v>423.29</v>
      </c>
      <c r="I37" s="119">
        <f t="shared" si="6"/>
        <v>1269.8700000000001</v>
      </c>
      <c r="J37" s="113"/>
      <c r="K37" s="20">
        <f t="shared" si="4"/>
        <v>1269.8700000000001</v>
      </c>
      <c r="L37" s="106"/>
      <c r="Q37" s="128"/>
    </row>
    <row r="38" spans="1:17" s="11" customFormat="1" ht="39.6" x14ac:dyDescent="0.25">
      <c r="A38" s="118" t="str">
        <f>'MM CALC'!A35</f>
        <v>2.2.5.2</v>
      </c>
      <c r="B38" s="39" t="str">
        <f>'MM CALC'!B35</f>
        <v>SINAPI</v>
      </c>
      <c r="C38" s="39">
        <f>'MM CALC'!C35</f>
        <v>90823</v>
      </c>
      <c r="D38" s="42" t="str">
        <f>'MM CALC'!D35</f>
        <v>PORTA DE MADEIRA PARA PINTURA, SEMI-OCA (LEVE OU MÉDIA), 90X210CM, ESPESSURA DE 3,5CM, INCLUSO DOBRADIÇAS - FORNECIMENTO E INSTALAÇÃO. AF_12/2019</v>
      </c>
      <c r="E38" s="25" t="str">
        <f>'MM CALC'!E35</f>
        <v>UNID</v>
      </c>
      <c r="F38" s="33">
        <f>'MM CALC'!F35</f>
        <v>2</v>
      </c>
      <c r="G38" s="34">
        <v>416.06</v>
      </c>
      <c r="H38" s="34">
        <f t="shared" ref="H38:H40" si="15">ROUND(G38+(G38*$H$8),2)</f>
        <v>518.58000000000004</v>
      </c>
      <c r="I38" s="119">
        <f t="shared" si="6"/>
        <v>1037.1600000000001</v>
      </c>
      <c r="J38" s="5"/>
      <c r="K38" s="20">
        <f t="shared" si="4"/>
        <v>1037.1600000000001</v>
      </c>
      <c r="L38" s="106"/>
      <c r="Q38" s="128">
        <f t="shared" si="1"/>
        <v>518.20272999999997</v>
      </c>
    </row>
    <row r="39" spans="1:17" s="11" customFormat="1" ht="52.8" x14ac:dyDescent="0.25">
      <c r="A39" s="118" t="str">
        <f>'MM CALC'!A36</f>
        <v>2.2.5.3</v>
      </c>
      <c r="B39" s="39" t="str">
        <f>'MM CALC'!B36</f>
        <v>SINAPI</v>
      </c>
      <c r="C39" s="39">
        <f>'MM CALC'!C36</f>
        <v>90844</v>
      </c>
      <c r="D39" s="42" t="str">
        <f>'MM CALC'!D36</f>
        <v>KIT DE PORTA DE MADEIRA PARA PINTURA, SEMI-OCA (LEVE OU MÉDIA), PADRÃO MÉDIO, 90X210CM, ESPESSURA DE 3,5CM, ITENS INCLUSOS: DOBRADIÇAS, MONTAGEM E INSTALAÇÃO DO BATENTE, FECHADURA COM EXECUÇÃO DO FURO - FORNECIMENTO E INSTALAÇÃO. AF_12/2019</v>
      </c>
      <c r="E39" s="25" t="str">
        <f>'MM CALC'!E36</f>
        <v>UNID</v>
      </c>
      <c r="F39" s="33">
        <f>'MM CALC'!F36</f>
        <v>2</v>
      </c>
      <c r="G39" s="34">
        <v>1168.43</v>
      </c>
      <c r="H39" s="34">
        <f t="shared" ref="H39" si="16">ROUND(G39+(G39*$H$8),2)</f>
        <v>1456.33</v>
      </c>
      <c r="I39" s="119">
        <f t="shared" si="6"/>
        <v>2912.66</v>
      </c>
      <c r="J39" s="5"/>
      <c r="K39" s="20">
        <f t="shared" si="4"/>
        <v>2912.66</v>
      </c>
      <c r="L39" s="106"/>
      <c r="Q39" s="128"/>
    </row>
    <row r="40" spans="1:17" s="10" customFormat="1" ht="39.6" x14ac:dyDescent="0.25">
      <c r="A40" s="118" t="str">
        <f>'MM CALC'!A37</f>
        <v>2.2.5.4</v>
      </c>
      <c r="B40" s="39" t="str">
        <f>'MM CALC'!B37</f>
        <v>SINAPI</v>
      </c>
      <c r="C40" s="39">
        <f>'MM CALC'!C37</f>
        <v>100702</v>
      </c>
      <c r="D40" s="42" t="str">
        <f>'MM CALC'!D37</f>
        <v>PORTA DE CORRER DE ALUMÍNIO, COM DUAS FOLHAS PARA VIDRO, INCLUSO VIDRO LISO INCOLOR, FECHADURA E PUXADOR, SEM ALIZAR. AF_12/2019</v>
      </c>
      <c r="E40" s="25" t="str">
        <f>'MM CALC'!E37</f>
        <v>M2</v>
      </c>
      <c r="F40" s="33">
        <f>'MM CALC'!F37</f>
        <v>7.78</v>
      </c>
      <c r="G40" s="34">
        <v>456.43</v>
      </c>
      <c r="H40" s="34">
        <f t="shared" si="15"/>
        <v>568.89</v>
      </c>
      <c r="I40" s="119">
        <f t="shared" si="6"/>
        <v>4425.9642000000003</v>
      </c>
      <c r="J40" s="5"/>
      <c r="K40" s="20">
        <f t="shared" si="4"/>
        <v>4425.9642000000003</v>
      </c>
      <c r="L40" s="106"/>
      <c r="Q40" s="128">
        <f t="shared" si="1"/>
        <v>568.483565</v>
      </c>
    </row>
    <row r="41" spans="1:17" s="10" customFormat="1" ht="26.4" x14ac:dyDescent="0.25">
      <c r="A41" s="118" t="str">
        <f>'MM CALC'!A38</f>
        <v>2.2.5.5</v>
      </c>
      <c r="B41" s="39" t="str">
        <f>'MM CALC'!B38</f>
        <v>SINAPI-I</v>
      </c>
      <c r="C41" s="39">
        <f>'MM CALC'!C38</f>
        <v>11795</v>
      </c>
      <c r="D41" s="42" t="str">
        <f>'MM CALC'!D38</f>
        <v>GRANITO PARA BANCADA, POLIDO, TIPO ANDORINHA/ QUARTZ/ CASTELO/ CORUMBA OU OUTROS EQUIVALENTES DA REGIAO, E=  *2,5* CM</v>
      </c>
      <c r="E41" s="25" t="str">
        <f>'MM CALC'!E38</f>
        <v>M2</v>
      </c>
      <c r="F41" s="33">
        <f>'MM CALC'!F38</f>
        <v>0.77</v>
      </c>
      <c r="G41" s="34">
        <v>422.64</v>
      </c>
      <c r="H41" s="34">
        <f t="shared" ref="H41" si="17">ROUND(G41+(G41*$H$8),2)</f>
        <v>526.78</v>
      </c>
      <c r="I41" s="119">
        <f t="shared" si="6"/>
        <v>405.62059999999997</v>
      </c>
      <c r="J41" s="5"/>
      <c r="K41" s="20">
        <f t="shared" si="4"/>
        <v>405.62059999999997</v>
      </c>
      <c r="L41" s="106"/>
      <c r="Q41" s="128"/>
    </row>
    <row r="42" spans="1:17" s="48" customFormat="1" x14ac:dyDescent="0.25">
      <c r="A42" s="237" t="s">
        <v>38</v>
      </c>
      <c r="B42" s="238"/>
      <c r="C42" s="238"/>
      <c r="D42" s="238"/>
      <c r="E42" s="238"/>
      <c r="F42" s="238"/>
      <c r="G42" s="238"/>
      <c r="H42" s="238"/>
      <c r="I42" s="117">
        <f>I12+I14</f>
        <v>62653.61710000001</v>
      </c>
      <c r="J42" s="20">
        <f>SUM(J12:J40)</f>
        <v>62653.617100000003</v>
      </c>
      <c r="K42" s="20">
        <f>SUM(K13:K41)</f>
        <v>62653.61710000001</v>
      </c>
      <c r="L42" s="127"/>
      <c r="M42" s="75"/>
      <c r="Q42" s="128"/>
    </row>
    <row r="43" spans="1:17" x14ac:dyDescent="0.25">
      <c r="A43" s="235"/>
      <c r="B43" s="236"/>
      <c r="C43" s="236"/>
      <c r="D43" s="236"/>
      <c r="E43" s="236"/>
      <c r="F43" s="236"/>
      <c r="G43" s="236"/>
      <c r="H43" s="236"/>
    </row>
    <row r="44" spans="1:17" ht="33.6" customHeight="1" x14ac:dyDescent="0.25">
      <c r="A44" s="191"/>
      <c r="B44" s="12"/>
      <c r="C44" s="192"/>
      <c r="D44" s="176"/>
      <c r="F44" s="176"/>
      <c r="I44" s="122"/>
    </row>
    <row r="45" spans="1:17" ht="15.6" customHeight="1" x14ac:dyDescent="0.25">
      <c r="A45" s="193"/>
      <c r="B45" s="12"/>
      <c r="C45" s="192"/>
      <c r="D45" s="3" t="s">
        <v>73</v>
      </c>
      <c r="F45" s="168" t="s">
        <v>73</v>
      </c>
      <c r="H45" s="174"/>
      <c r="I45" s="175"/>
    </row>
    <row r="46" spans="1:17" x14ac:dyDescent="0.25">
      <c r="A46" s="191"/>
      <c r="B46" s="12"/>
      <c r="C46" s="192"/>
      <c r="D46" s="178" t="s">
        <v>75</v>
      </c>
      <c r="E46" s="174"/>
      <c r="F46" s="169" t="s">
        <v>106</v>
      </c>
      <c r="G46" s="174"/>
      <c r="H46" s="174"/>
      <c r="I46" s="175"/>
    </row>
    <row r="47" spans="1:17" ht="13.2" customHeight="1" x14ac:dyDescent="0.25">
      <c r="A47" s="173"/>
      <c r="B47" s="174"/>
      <c r="C47" s="174"/>
      <c r="D47" s="3" t="s">
        <v>76</v>
      </c>
      <c r="E47" s="174"/>
      <c r="F47" s="168" t="s">
        <v>74</v>
      </c>
      <c r="G47" s="174"/>
      <c r="H47" s="174"/>
      <c r="I47" s="175"/>
    </row>
    <row r="48" spans="1:17" x14ac:dyDescent="0.25">
      <c r="A48" s="173"/>
      <c r="B48" s="174"/>
      <c r="C48" s="174"/>
      <c r="D48" s="174"/>
      <c r="E48" s="174"/>
      <c r="F48" s="174"/>
      <c r="G48" s="174"/>
      <c r="H48" s="174"/>
      <c r="I48" s="175"/>
    </row>
    <row r="49" spans="1:22" ht="13.8" thickBot="1" x14ac:dyDescent="0.3">
      <c r="A49" s="170"/>
      <c r="B49" s="171"/>
      <c r="C49" s="171"/>
      <c r="D49" s="171"/>
      <c r="E49" s="171"/>
      <c r="F49" s="171"/>
      <c r="G49" s="171"/>
      <c r="H49" s="171"/>
      <c r="I49" s="172"/>
    </row>
    <row r="50" spans="1:22" x14ac:dyDescent="0.25">
      <c r="A50" s="85"/>
      <c r="D50" s="7"/>
      <c r="E50" s="7"/>
      <c r="F50" s="102"/>
      <c r="G50" s="78"/>
      <c r="H50" s="78"/>
      <c r="I50" s="86"/>
      <c r="J50" s="78"/>
      <c r="K50" s="78"/>
      <c r="M50" s="78"/>
      <c r="N50" s="78"/>
      <c r="O50" s="78"/>
      <c r="P50" s="78"/>
      <c r="Q50" s="78"/>
      <c r="R50" s="78"/>
      <c r="S50" s="78"/>
      <c r="T50" s="78"/>
      <c r="U50" s="78"/>
      <c r="V50" s="78"/>
    </row>
    <row r="51" spans="1:22" x14ac:dyDescent="0.25">
      <c r="A51" s="85"/>
      <c r="E51" s="79"/>
      <c r="F51" s="103"/>
      <c r="G51" s="78"/>
      <c r="H51" s="78"/>
      <c r="I51" s="86"/>
      <c r="J51" s="78"/>
      <c r="K51" s="5"/>
      <c r="M51" s="78"/>
      <c r="N51" s="78"/>
      <c r="O51" s="79"/>
      <c r="P51" s="78"/>
      <c r="Q51" s="78"/>
      <c r="R51" s="78"/>
      <c r="S51" s="78"/>
      <c r="T51" s="79"/>
      <c r="U51" s="78"/>
      <c r="V51" s="78"/>
    </row>
    <row r="52" spans="1:22" x14ac:dyDescent="0.25">
      <c r="A52" s="85"/>
      <c r="E52" s="78"/>
      <c r="F52" s="104"/>
      <c r="G52" s="78"/>
      <c r="H52" s="78"/>
      <c r="I52" s="86"/>
      <c r="K52" s="78"/>
      <c r="M52" s="78"/>
      <c r="N52" s="78"/>
      <c r="O52" s="78"/>
      <c r="P52" s="78"/>
      <c r="Q52" s="78"/>
      <c r="R52" s="78"/>
      <c r="S52" s="78"/>
      <c r="T52" s="78"/>
      <c r="U52" s="78"/>
      <c r="V52" s="78"/>
    </row>
    <row r="53" spans="1:22" x14ac:dyDescent="0.25">
      <c r="A53" s="87"/>
      <c r="B53" s="88"/>
      <c r="C53" s="88"/>
      <c r="D53" s="89"/>
      <c r="E53" s="88"/>
      <c r="F53" s="105"/>
      <c r="G53" s="90"/>
      <c r="H53" s="90"/>
      <c r="I53" s="91"/>
    </row>
    <row r="59" spans="1:22" x14ac:dyDescent="0.25">
      <c r="D59" s="5"/>
    </row>
    <row r="60" spans="1:22" x14ac:dyDescent="0.25">
      <c r="D60" s="5"/>
    </row>
  </sheetData>
  <autoFilter ref="A10:I40" xr:uid="{00000000-0009-0000-0000-000000000000}"/>
  <mergeCells count="16">
    <mergeCell ref="A1:I1"/>
    <mergeCell ref="E6:F6"/>
    <mergeCell ref="E5:I5"/>
    <mergeCell ref="G6:H7"/>
    <mergeCell ref="A6:D6"/>
    <mergeCell ref="A7:D7"/>
    <mergeCell ref="I6:I8"/>
    <mergeCell ref="A5:D5"/>
    <mergeCell ref="A4:D4"/>
    <mergeCell ref="A2:I3"/>
    <mergeCell ref="E4:I4"/>
    <mergeCell ref="A9:I9"/>
    <mergeCell ref="A8:D8"/>
    <mergeCell ref="A43:H43"/>
    <mergeCell ref="A42:H42"/>
    <mergeCell ref="A11:I11"/>
  </mergeCells>
  <phoneticPr fontId="21" type="noConversion"/>
  <printOptions horizontalCentered="1"/>
  <pageMargins left="0.78740157480314965" right="0.39370078740157483" top="0.98425196850393704" bottom="0.98425196850393704" header="0.51181102362204722" footer="0.51181102362204722"/>
  <pageSetup paperSize="9" scale="56" fitToHeight="2" orientation="landscape" horizontalDpi="4294967293" r:id="rId1"/>
  <headerFooter alignWithMargins="0">
    <oddFooter>&amp;C
Página &amp;P de &amp;N</oddFooter>
  </headerFooter>
  <rowBreaks count="1" manualBreakCount="1">
    <brk id="30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tabColor rgb="FF92D050"/>
  </sheetPr>
  <dimension ref="A1:K46"/>
  <sheetViews>
    <sheetView showGridLines="0" view="pageBreakPreview" topLeftCell="D1" zoomScale="80" zoomScaleNormal="75" zoomScaleSheetLayoutView="80" workbookViewId="0">
      <pane ySplit="7" topLeftCell="A25" activePane="bottomLeft" state="frozen"/>
      <selection pane="bottomLeft" activeCell="F38" sqref="F38"/>
    </sheetView>
  </sheetViews>
  <sheetFormatPr defaultColWidth="9.109375" defaultRowHeight="13.2" x14ac:dyDescent="0.25"/>
  <cols>
    <col min="1" max="1" width="10.21875" style="13" customWidth="1"/>
    <col min="2" max="2" width="11.5546875" style="12" customWidth="1"/>
    <col min="3" max="3" width="14.109375" style="12" customWidth="1"/>
    <col min="4" max="4" width="76.5546875" style="6" bestFit="1" customWidth="1"/>
    <col min="5" max="5" width="11.33203125" style="12" customWidth="1"/>
    <col min="6" max="6" width="11.44140625" style="100" customWidth="1"/>
    <col min="7" max="7" width="81.33203125" style="8" customWidth="1"/>
    <col min="8" max="16384" width="9.109375" style="8"/>
  </cols>
  <sheetData>
    <row r="1" spans="1:11" ht="21.75" customHeight="1" x14ac:dyDescent="0.25">
      <c r="A1" s="264" t="s">
        <v>22</v>
      </c>
      <c r="B1" s="265"/>
      <c r="C1" s="265"/>
      <c r="D1" s="265"/>
      <c r="E1" s="265"/>
      <c r="F1" s="265"/>
      <c r="G1" s="266"/>
    </row>
    <row r="2" spans="1:11" x14ac:dyDescent="0.25">
      <c r="A2" s="267"/>
      <c r="B2" s="268"/>
      <c r="C2" s="268"/>
      <c r="D2" s="268"/>
      <c r="E2" s="268"/>
      <c r="F2" s="268"/>
      <c r="G2" s="269"/>
    </row>
    <row r="3" spans="1:11" s="5" customFormat="1" ht="21" customHeight="1" x14ac:dyDescent="0.25">
      <c r="A3" s="130" t="s">
        <v>62</v>
      </c>
      <c r="B3" s="2"/>
      <c r="C3" s="2"/>
      <c r="D3" s="14"/>
      <c r="E3" s="1" t="s">
        <v>113</v>
      </c>
      <c r="F3" s="92"/>
      <c r="G3" s="131"/>
    </row>
    <row r="4" spans="1:11" s="5" customFormat="1" ht="19.5" customHeight="1" x14ac:dyDescent="0.25">
      <c r="A4" s="130" t="s">
        <v>127</v>
      </c>
      <c r="B4" s="2"/>
      <c r="C4" s="2"/>
      <c r="D4" s="15"/>
      <c r="E4" s="2"/>
      <c r="F4" s="93"/>
      <c r="G4" s="131"/>
    </row>
    <row r="5" spans="1:11" s="5" customFormat="1" ht="18.75" customHeight="1" x14ac:dyDescent="0.25">
      <c r="A5" s="130" t="s">
        <v>105</v>
      </c>
      <c r="B5" s="2"/>
      <c r="C5" s="2"/>
      <c r="D5" s="15"/>
      <c r="E5" s="2"/>
      <c r="F5" s="94"/>
      <c r="G5" s="131"/>
    </row>
    <row r="6" spans="1:11" x14ac:dyDescent="0.25">
      <c r="A6" s="132"/>
      <c r="B6" s="194"/>
      <c r="C6" s="194"/>
      <c r="D6" s="195"/>
      <c r="E6" s="194"/>
      <c r="F6" s="196"/>
      <c r="G6" s="133"/>
    </row>
    <row r="7" spans="1:11" s="12" customFormat="1" x14ac:dyDescent="0.25">
      <c r="A7" s="134" t="s">
        <v>0</v>
      </c>
      <c r="B7" s="19" t="s">
        <v>9</v>
      </c>
      <c r="C7" s="23" t="s">
        <v>2</v>
      </c>
      <c r="D7" s="19" t="s">
        <v>1</v>
      </c>
      <c r="E7" s="19" t="s">
        <v>6</v>
      </c>
      <c r="F7" s="95" t="s">
        <v>7</v>
      </c>
      <c r="G7" s="135" t="s">
        <v>16</v>
      </c>
    </row>
    <row r="8" spans="1:11" s="18" customFormat="1" x14ac:dyDescent="0.25">
      <c r="A8" s="136"/>
      <c r="B8" s="31"/>
      <c r="C8" s="22"/>
      <c r="D8" s="31"/>
      <c r="E8" s="31"/>
      <c r="F8" s="96"/>
      <c r="G8" s="137"/>
    </row>
    <row r="9" spans="1:11" s="18" customFormat="1" ht="17.25" customHeight="1" x14ac:dyDescent="0.25">
      <c r="A9" s="138">
        <v>1</v>
      </c>
      <c r="B9" s="51"/>
      <c r="C9" s="52"/>
      <c r="D9" s="53" t="s">
        <v>25</v>
      </c>
      <c r="E9" s="54"/>
      <c r="F9" s="55"/>
      <c r="G9" s="139"/>
    </row>
    <row r="10" spans="1:11" s="18" customFormat="1" ht="26.4" x14ac:dyDescent="0.25">
      <c r="A10" s="140" t="s">
        <v>10</v>
      </c>
      <c r="B10" s="32" t="s">
        <v>88</v>
      </c>
      <c r="C10" s="32">
        <v>4813</v>
      </c>
      <c r="D10" s="56" t="s">
        <v>87</v>
      </c>
      <c r="E10" s="218" t="s">
        <v>89</v>
      </c>
      <c r="F10" s="33">
        <f>ROUND((2.4*1.2),2)</f>
        <v>2.88</v>
      </c>
      <c r="G10" s="141" t="s">
        <v>103</v>
      </c>
      <c r="J10" s="221"/>
      <c r="K10" s="221"/>
    </row>
    <row r="11" spans="1:11" s="18" customFormat="1" ht="18.75" customHeight="1" x14ac:dyDescent="0.25">
      <c r="A11" s="142" t="s">
        <v>37</v>
      </c>
      <c r="B11" s="52"/>
      <c r="C11" s="52"/>
      <c r="D11" s="57" t="s">
        <v>128</v>
      </c>
      <c r="E11" s="52"/>
      <c r="F11" s="97"/>
      <c r="G11" s="143"/>
      <c r="J11" s="221"/>
      <c r="K11" s="221"/>
    </row>
    <row r="12" spans="1:11" s="70" customFormat="1" ht="16.2" customHeight="1" x14ac:dyDescent="0.25">
      <c r="A12" s="144" t="s">
        <v>11</v>
      </c>
      <c r="B12" s="66"/>
      <c r="C12" s="67"/>
      <c r="D12" s="68" t="s">
        <v>39</v>
      </c>
      <c r="E12" s="69"/>
      <c r="F12" s="71"/>
      <c r="G12" s="145"/>
      <c r="J12" s="222"/>
      <c r="K12" s="221"/>
    </row>
    <row r="13" spans="1:11" s="18" customFormat="1" ht="26.4" x14ac:dyDescent="0.25">
      <c r="A13" s="140" t="s">
        <v>63</v>
      </c>
      <c r="B13" s="32" t="s">
        <v>91</v>
      </c>
      <c r="C13" s="32">
        <v>97622</v>
      </c>
      <c r="D13" s="26" t="s">
        <v>90</v>
      </c>
      <c r="E13" s="27" t="s">
        <v>59</v>
      </c>
      <c r="F13" s="33">
        <f>ROUND((((0.9*2.1)-(0.3*0.9))*0.15),2)</f>
        <v>0.24</v>
      </c>
      <c r="G13" s="146" t="s">
        <v>78</v>
      </c>
      <c r="J13" s="221"/>
      <c r="K13" s="221"/>
    </row>
    <row r="14" spans="1:11" s="18" customFormat="1" ht="49.2" customHeight="1" x14ac:dyDescent="0.25">
      <c r="A14" s="140" t="s">
        <v>64</v>
      </c>
      <c r="B14" s="32" t="s">
        <v>91</v>
      </c>
      <c r="C14" s="32">
        <v>97644</v>
      </c>
      <c r="D14" s="26" t="s">
        <v>92</v>
      </c>
      <c r="E14" s="27" t="s">
        <v>35</v>
      </c>
      <c r="F14" s="33">
        <f>ROUND(((0.95*0.8)+(0.8*2.1*3)+(0.9*2.1*2)),2)</f>
        <v>9.58</v>
      </c>
      <c r="G14" s="147" t="s">
        <v>120</v>
      </c>
      <c r="J14" s="221"/>
      <c r="K14" s="221"/>
    </row>
    <row r="15" spans="1:11" s="18" customFormat="1" ht="26.4" x14ac:dyDescent="0.25">
      <c r="A15" s="140" t="s">
        <v>65</v>
      </c>
      <c r="B15" s="32" t="s">
        <v>91</v>
      </c>
      <c r="C15" s="32">
        <v>97647</v>
      </c>
      <c r="D15" s="26" t="s">
        <v>93</v>
      </c>
      <c r="E15" s="27" t="s">
        <v>35</v>
      </c>
      <c r="F15" s="33">
        <v>249.49</v>
      </c>
      <c r="G15" s="147" t="s">
        <v>81</v>
      </c>
      <c r="J15" s="221"/>
      <c r="K15" s="221"/>
    </row>
    <row r="16" spans="1:11" s="70" customFormat="1" x14ac:dyDescent="0.25">
      <c r="A16" s="144" t="s">
        <v>41</v>
      </c>
      <c r="B16" s="66"/>
      <c r="C16" s="67"/>
      <c r="D16" s="68" t="s">
        <v>26</v>
      </c>
      <c r="E16" s="69"/>
      <c r="F16" s="98"/>
      <c r="G16" s="148"/>
      <c r="J16" s="222"/>
      <c r="K16" s="221"/>
    </row>
    <row r="17" spans="1:11" s="65" customFormat="1" x14ac:dyDescent="0.25">
      <c r="A17" s="149" t="s">
        <v>42</v>
      </c>
      <c r="B17" s="61"/>
      <c r="C17" s="62"/>
      <c r="D17" s="63" t="s">
        <v>27</v>
      </c>
      <c r="E17" s="64"/>
      <c r="F17" s="35"/>
      <c r="G17" s="150"/>
      <c r="J17" s="223"/>
      <c r="K17" s="221"/>
    </row>
    <row r="18" spans="1:11" s="18" customFormat="1" ht="79.2" x14ac:dyDescent="0.25">
      <c r="A18" s="140" t="s">
        <v>43</v>
      </c>
      <c r="B18" s="32" t="s">
        <v>91</v>
      </c>
      <c r="C18" s="32">
        <v>103323</v>
      </c>
      <c r="D18" s="58" t="s">
        <v>94</v>
      </c>
      <c r="E18" s="59" t="s">
        <v>35</v>
      </c>
      <c r="F18" s="33">
        <f>ROUND((((0.95*0.8)-(0.9*0.3))+(0.9*2.1)+((1.5+0.68)*0.8)+((1.2*2.8)-(0.9*2.1))),2)</f>
        <v>5.59</v>
      </c>
      <c r="G18" s="146" t="s">
        <v>123</v>
      </c>
      <c r="J18" s="221"/>
      <c r="K18" s="221"/>
    </row>
    <row r="19" spans="1:11" s="18" customFormat="1" ht="92.4" x14ac:dyDescent="0.25">
      <c r="A19" s="140" t="s">
        <v>44</v>
      </c>
      <c r="B19" s="32" t="s">
        <v>91</v>
      </c>
      <c r="C19" s="32">
        <v>87878</v>
      </c>
      <c r="D19" s="58" t="s">
        <v>95</v>
      </c>
      <c r="E19" s="59" t="s">
        <v>35</v>
      </c>
      <c r="F19" s="33">
        <f>ROUND(((((0.95*0.8)-(0.9*0.3))*2)+(0.9*2.1*2)+(((1.5+0.83+0.68+1.35+0.15)*0.8))+(((1.2*2.8)-(0.9*2.1))*2)),2)</f>
        <v>11.31</v>
      </c>
      <c r="G19" s="146" t="s">
        <v>124</v>
      </c>
      <c r="J19" s="221"/>
      <c r="K19" s="221"/>
    </row>
    <row r="20" spans="1:11" s="18" customFormat="1" ht="39.6" x14ac:dyDescent="0.25">
      <c r="A20" s="140" t="s">
        <v>45</v>
      </c>
      <c r="B20" s="32" t="s">
        <v>91</v>
      </c>
      <c r="C20" s="32">
        <v>87530</v>
      </c>
      <c r="D20" s="58" t="s">
        <v>96</v>
      </c>
      <c r="E20" s="59" t="s">
        <v>35</v>
      </c>
      <c r="F20" s="33">
        <f>F19</f>
        <v>11.31</v>
      </c>
      <c r="G20" s="146" t="s">
        <v>68</v>
      </c>
      <c r="J20" s="221"/>
      <c r="K20" s="221"/>
    </row>
    <row r="21" spans="1:11" s="70" customFormat="1" x14ac:dyDescent="0.25">
      <c r="A21" s="149" t="s">
        <v>46</v>
      </c>
      <c r="B21" s="61"/>
      <c r="C21" s="62"/>
      <c r="D21" s="63" t="s">
        <v>60</v>
      </c>
      <c r="E21" s="64"/>
      <c r="F21" s="35"/>
      <c r="G21" s="150"/>
      <c r="J21" s="222"/>
      <c r="K21" s="221"/>
    </row>
    <row r="22" spans="1:11" s="18" customFormat="1" ht="52.8" x14ac:dyDescent="0.25">
      <c r="A22" s="140" t="s">
        <v>47</v>
      </c>
      <c r="B22" s="32" t="s">
        <v>91</v>
      </c>
      <c r="C22" s="228">
        <v>94990</v>
      </c>
      <c r="D22" s="58" t="s">
        <v>125</v>
      </c>
      <c r="E22" s="59" t="s">
        <v>59</v>
      </c>
      <c r="F22" s="33">
        <f>ROUND(((((1.15+0.88)/2)*0.5)*0.06)+(1*3.7*0.06),2)</f>
        <v>0.25</v>
      </c>
      <c r="G22" s="147" t="s">
        <v>126</v>
      </c>
      <c r="H22" s="229"/>
      <c r="J22" s="221"/>
      <c r="K22" s="221"/>
    </row>
    <row r="23" spans="1:11" s="65" customFormat="1" x14ac:dyDescent="0.25">
      <c r="A23" s="149" t="s">
        <v>48</v>
      </c>
      <c r="B23" s="61"/>
      <c r="C23" s="60"/>
      <c r="D23" s="72" t="s">
        <v>53</v>
      </c>
      <c r="E23" s="73"/>
      <c r="F23" s="165"/>
      <c r="G23" s="150"/>
      <c r="J23" s="224"/>
      <c r="K23" s="221"/>
    </row>
    <row r="24" spans="1:11" s="65" customFormat="1" ht="26.4" x14ac:dyDescent="0.25">
      <c r="A24" s="140" t="s">
        <v>49</v>
      </c>
      <c r="B24" s="32" t="s">
        <v>91</v>
      </c>
      <c r="C24" s="24">
        <v>94227</v>
      </c>
      <c r="D24" s="58" t="s">
        <v>97</v>
      </c>
      <c r="E24" s="59" t="s">
        <v>28</v>
      </c>
      <c r="F24" s="129">
        <f>ROUND((5.25+4.3+2.3+4.3+4.3+2.3+4.3+5.25),2)</f>
        <v>32.299999999999997</v>
      </c>
      <c r="G24" s="146" t="s">
        <v>85</v>
      </c>
      <c r="J24" s="224"/>
      <c r="K24" s="221"/>
    </row>
    <row r="25" spans="1:11" s="65" customFormat="1" ht="39.6" x14ac:dyDescent="0.25">
      <c r="A25" s="140" t="s">
        <v>82</v>
      </c>
      <c r="B25" s="32" t="s">
        <v>91</v>
      </c>
      <c r="C25" s="24">
        <v>94231</v>
      </c>
      <c r="D25" s="58" t="s">
        <v>98</v>
      </c>
      <c r="E25" s="59" t="s">
        <v>28</v>
      </c>
      <c r="F25" s="129">
        <f>ROUND((9.25+6+2.9+2.9+8.65+0.6+1.85+3.45+5.1+3.45+1.85+0.6+5+1.5+1.5+5.8),2)</f>
        <v>60.4</v>
      </c>
      <c r="G25" s="146" t="s">
        <v>86</v>
      </c>
      <c r="J25" s="224"/>
      <c r="K25" s="221"/>
    </row>
    <row r="26" spans="1:11" s="18" customFormat="1" ht="26.4" x14ac:dyDescent="0.25">
      <c r="A26" s="140" t="s">
        <v>83</v>
      </c>
      <c r="B26" s="32" t="s">
        <v>91</v>
      </c>
      <c r="C26" s="24">
        <v>94213</v>
      </c>
      <c r="D26" s="58" t="s">
        <v>99</v>
      </c>
      <c r="E26" s="59" t="s">
        <v>35</v>
      </c>
      <c r="F26" s="33">
        <v>249.49</v>
      </c>
      <c r="G26" s="147" t="s">
        <v>81</v>
      </c>
      <c r="J26" s="221"/>
      <c r="K26" s="221"/>
    </row>
    <row r="27" spans="1:11" s="18" customFormat="1" ht="26.4" x14ac:dyDescent="0.25">
      <c r="A27" s="140" t="s">
        <v>84</v>
      </c>
      <c r="B27" s="32" t="s">
        <v>88</v>
      </c>
      <c r="C27" s="24">
        <v>34348</v>
      </c>
      <c r="D27" s="58" t="s">
        <v>102</v>
      </c>
      <c r="E27" s="59" t="s">
        <v>28</v>
      </c>
      <c r="F27" s="129">
        <f>ROUND((28.93+28.93+29.9),2)</f>
        <v>87.76</v>
      </c>
      <c r="G27" s="146" t="s">
        <v>79</v>
      </c>
      <c r="J27" s="225"/>
      <c r="K27" s="221"/>
    </row>
    <row r="28" spans="1:11" s="65" customFormat="1" ht="16.5" customHeight="1" x14ac:dyDescent="0.25">
      <c r="A28" s="149" t="s">
        <v>50</v>
      </c>
      <c r="B28" s="61"/>
      <c r="C28" s="60"/>
      <c r="D28" s="72" t="s">
        <v>29</v>
      </c>
      <c r="E28" s="73"/>
      <c r="F28" s="35"/>
      <c r="G28" s="150"/>
      <c r="J28" s="223"/>
      <c r="K28" s="221"/>
    </row>
    <row r="29" spans="1:11" s="18" customFormat="1" ht="26.4" x14ac:dyDescent="0.25">
      <c r="A29" s="140" t="s">
        <v>51</v>
      </c>
      <c r="B29" s="32" t="s">
        <v>91</v>
      </c>
      <c r="C29" s="24">
        <v>88489</v>
      </c>
      <c r="D29" s="58" t="s">
        <v>110</v>
      </c>
      <c r="E29" s="59" t="s">
        <v>35</v>
      </c>
      <c r="F29" s="33">
        <v>690.12</v>
      </c>
      <c r="G29" s="146" t="s">
        <v>69</v>
      </c>
      <c r="H29" s="18">
        <v>690.12</v>
      </c>
      <c r="J29" s="221"/>
      <c r="K29" s="221"/>
    </row>
    <row r="30" spans="1:11" s="18" customFormat="1" ht="26.4" x14ac:dyDescent="0.25">
      <c r="A30" s="140" t="s">
        <v>52</v>
      </c>
      <c r="B30" s="32" t="s">
        <v>91</v>
      </c>
      <c r="C30" s="24">
        <v>88489</v>
      </c>
      <c r="D30" s="58" t="s">
        <v>111</v>
      </c>
      <c r="E30" s="59" t="s">
        <v>35</v>
      </c>
      <c r="F30" s="33">
        <f>ROUND(((((1.5+0.83+0.68+1.35+0.15)*0.8))),2)</f>
        <v>3.61</v>
      </c>
      <c r="G30" s="146" t="s">
        <v>80</v>
      </c>
      <c r="J30" s="221"/>
      <c r="K30" s="221"/>
    </row>
    <row r="31" spans="1:11" s="18" customFormat="1" ht="26.4" x14ac:dyDescent="0.25">
      <c r="A31" s="140" t="s">
        <v>54</v>
      </c>
      <c r="B31" s="32" t="s">
        <v>91</v>
      </c>
      <c r="C31" s="24">
        <v>88488</v>
      </c>
      <c r="D31" s="58" t="s">
        <v>100</v>
      </c>
      <c r="E31" s="59" t="s">
        <v>35</v>
      </c>
      <c r="F31" s="33">
        <v>154.16999999999999</v>
      </c>
      <c r="G31" s="146" t="s">
        <v>70</v>
      </c>
      <c r="J31" s="221"/>
      <c r="K31" s="221"/>
    </row>
    <row r="32" spans="1:11" s="18" customFormat="1" ht="26.4" x14ac:dyDescent="0.25">
      <c r="A32" s="140" t="s">
        <v>66</v>
      </c>
      <c r="B32" s="32" t="s">
        <v>91</v>
      </c>
      <c r="C32" s="24">
        <v>102220</v>
      </c>
      <c r="D32" s="58" t="s">
        <v>104</v>
      </c>
      <c r="E32" s="59" t="s">
        <v>35</v>
      </c>
      <c r="F32" s="33">
        <v>107.63</v>
      </c>
      <c r="G32" s="146" t="s">
        <v>71</v>
      </c>
      <c r="J32" s="221"/>
      <c r="K32" s="221"/>
    </row>
    <row r="33" spans="1:11" x14ac:dyDescent="0.25">
      <c r="A33" s="149" t="s">
        <v>55</v>
      </c>
      <c r="B33" s="61"/>
      <c r="C33" s="60"/>
      <c r="D33" s="72" t="s">
        <v>30</v>
      </c>
      <c r="E33" s="73"/>
      <c r="F33" s="35"/>
      <c r="G33" s="150"/>
      <c r="J33" s="226"/>
      <c r="K33" s="221"/>
    </row>
    <row r="34" spans="1:11" ht="39.6" x14ac:dyDescent="0.25">
      <c r="A34" s="140" t="s">
        <v>56</v>
      </c>
      <c r="B34" s="32" t="s">
        <v>91</v>
      </c>
      <c r="C34" s="24">
        <v>90822</v>
      </c>
      <c r="D34" s="58" t="s">
        <v>118</v>
      </c>
      <c r="E34" s="59" t="s">
        <v>34</v>
      </c>
      <c r="F34" s="33">
        <v>3</v>
      </c>
      <c r="G34" s="146" t="s">
        <v>119</v>
      </c>
      <c r="J34" s="226"/>
      <c r="K34" s="221"/>
    </row>
    <row r="35" spans="1:11" ht="39.6" x14ac:dyDescent="0.25">
      <c r="A35" s="140" t="s">
        <v>57</v>
      </c>
      <c r="B35" s="32" t="s">
        <v>91</v>
      </c>
      <c r="C35" s="24">
        <v>90823</v>
      </c>
      <c r="D35" s="58" t="s">
        <v>101</v>
      </c>
      <c r="E35" s="59" t="s">
        <v>34</v>
      </c>
      <c r="F35" s="33">
        <v>2</v>
      </c>
      <c r="G35" s="146" t="s">
        <v>121</v>
      </c>
      <c r="J35" s="226"/>
      <c r="K35" s="221"/>
    </row>
    <row r="36" spans="1:11" ht="52.8" x14ac:dyDescent="0.25">
      <c r="A36" s="140" t="s">
        <v>58</v>
      </c>
      <c r="B36" s="32" t="s">
        <v>91</v>
      </c>
      <c r="C36" s="24">
        <v>90844</v>
      </c>
      <c r="D36" s="58" t="s">
        <v>115</v>
      </c>
      <c r="E36" s="59" t="s">
        <v>34</v>
      </c>
      <c r="F36" s="33">
        <v>2</v>
      </c>
      <c r="G36" s="146" t="s">
        <v>72</v>
      </c>
      <c r="J36" s="226"/>
      <c r="K36" s="221"/>
    </row>
    <row r="37" spans="1:11" ht="26.4" x14ac:dyDescent="0.25">
      <c r="A37" s="140" t="s">
        <v>108</v>
      </c>
      <c r="B37" s="32" t="s">
        <v>91</v>
      </c>
      <c r="C37" s="24">
        <v>100702</v>
      </c>
      <c r="D37" s="58" t="s">
        <v>116</v>
      </c>
      <c r="E37" s="59" t="s">
        <v>35</v>
      </c>
      <c r="F37" s="33">
        <f>ROUND((2.78*2.8),2)</f>
        <v>7.78</v>
      </c>
      <c r="G37" s="220" t="s">
        <v>122</v>
      </c>
      <c r="H37" s="227"/>
      <c r="J37" s="226"/>
      <c r="K37" s="221"/>
    </row>
    <row r="38" spans="1:11" ht="26.4" x14ac:dyDescent="0.25">
      <c r="A38" s="140" t="s">
        <v>117</v>
      </c>
      <c r="B38" s="32" t="s">
        <v>88</v>
      </c>
      <c r="C38" s="24">
        <v>11795</v>
      </c>
      <c r="D38" s="58" t="s">
        <v>107</v>
      </c>
      <c r="E38" s="59" t="s">
        <v>35</v>
      </c>
      <c r="F38" s="33">
        <f>ROUND((((1.5+0.43)*0.4)),2)</f>
        <v>0.77</v>
      </c>
      <c r="G38" s="146" t="s">
        <v>109</v>
      </c>
      <c r="J38" s="226"/>
      <c r="K38" s="221"/>
    </row>
    <row r="39" spans="1:11" x14ac:dyDescent="0.25">
      <c r="A39" s="151"/>
      <c r="B39" s="8"/>
      <c r="C39" s="8"/>
      <c r="D39" s="8"/>
      <c r="E39" s="8"/>
      <c r="F39" s="8"/>
      <c r="G39" s="133"/>
    </row>
    <row r="40" spans="1:11" ht="30" customHeight="1" x14ac:dyDescent="0.25">
      <c r="A40" s="261"/>
      <c r="B40" s="262"/>
      <c r="C40" s="262"/>
      <c r="D40" s="262"/>
      <c r="E40" s="262"/>
      <c r="F40" s="262"/>
      <c r="G40" s="263"/>
    </row>
    <row r="41" spans="1:11" ht="14.4" customHeight="1" x14ac:dyDescent="0.25">
      <c r="A41" s="152"/>
      <c r="C41" s="259" t="s">
        <v>77</v>
      </c>
      <c r="D41" s="259"/>
      <c r="E41" s="259"/>
      <c r="F41" s="259"/>
      <c r="G41" s="260"/>
    </row>
    <row r="42" spans="1:11" x14ac:dyDescent="0.25">
      <c r="A42" s="152"/>
      <c r="C42" s="236" t="s">
        <v>75</v>
      </c>
      <c r="D42" s="236"/>
      <c r="E42" s="236"/>
      <c r="F42" s="236"/>
      <c r="G42" s="270"/>
    </row>
    <row r="43" spans="1:11" ht="13.2" customHeight="1" x14ac:dyDescent="0.25">
      <c r="A43" s="197"/>
      <c r="B43" s="3"/>
      <c r="C43" s="259" t="s">
        <v>76</v>
      </c>
      <c r="D43" s="259"/>
      <c r="E43" s="259"/>
      <c r="F43" s="259"/>
      <c r="G43" s="260"/>
    </row>
    <row r="44" spans="1:11" x14ac:dyDescent="0.25">
      <c r="A44" s="167"/>
      <c r="B44" s="177"/>
      <c r="C44" s="177"/>
      <c r="D44" s="177"/>
      <c r="E44" s="177"/>
      <c r="F44" s="177"/>
      <c r="G44" s="179"/>
    </row>
    <row r="45" spans="1:11" x14ac:dyDescent="0.25">
      <c r="A45" s="197"/>
      <c r="B45" s="3"/>
      <c r="C45" s="3"/>
      <c r="D45" s="3"/>
      <c r="E45" s="3"/>
      <c r="F45" s="3"/>
      <c r="G45" s="181"/>
    </row>
    <row r="46" spans="1:11" ht="13.8" thickBot="1" x14ac:dyDescent="0.3">
      <c r="A46" s="153"/>
      <c r="B46" s="154"/>
      <c r="C46" s="154"/>
      <c r="D46" s="155"/>
      <c r="E46" s="154"/>
      <c r="F46" s="156"/>
      <c r="G46" s="157"/>
    </row>
  </sheetData>
  <autoFilter ref="A7:G37" xr:uid="{00000000-0009-0000-0000-000001000000}"/>
  <mergeCells count="5">
    <mergeCell ref="C43:G43"/>
    <mergeCell ref="A40:G40"/>
    <mergeCell ref="A1:G2"/>
    <mergeCell ref="C41:G41"/>
    <mergeCell ref="C42:G42"/>
  </mergeCells>
  <phoneticPr fontId="21" type="noConversion"/>
  <printOptions horizontalCentered="1"/>
  <pageMargins left="0.39370078740157483" right="0.39370078740157483" top="0.86614173228346458" bottom="0.78740157480314965" header="0.51181102362204722" footer="0.51181102362204722"/>
  <pageSetup paperSize="9" scale="47" fitToHeight="3" orientation="landscape" horizontalDpi="4294967293" r:id="rId1"/>
  <headerFooter alignWithMargins="0">
    <oddFooter>Página &amp;P de &amp;N</oddFooter>
  </headerFooter>
  <rowBreaks count="1" manualBreakCount="1">
    <brk id="27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>
    <tabColor rgb="FF92D050"/>
    <pageSetUpPr fitToPage="1"/>
  </sheetPr>
  <dimension ref="A1:L33"/>
  <sheetViews>
    <sheetView showGridLines="0" view="pageBreakPreview" zoomScale="75" zoomScaleNormal="75" zoomScaleSheetLayoutView="75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H21" sqref="H21"/>
    </sheetView>
  </sheetViews>
  <sheetFormatPr defaultColWidth="9.109375" defaultRowHeight="13.2" x14ac:dyDescent="0.25"/>
  <cols>
    <col min="1" max="1" width="6.88671875" style="5" customWidth="1"/>
    <col min="2" max="2" width="70.6640625" style="17" customWidth="1"/>
    <col min="3" max="3" width="23.5546875" style="5" customWidth="1"/>
    <col min="4" max="4" width="18.88671875" style="5" customWidth="1"/>
    <col min="5" max="5" width="16.88671875" style="5" customWidth="1"/>
    <col min="6" max="6" width="18.109375" style="5" customWidth="1"/>
    <col min="7" max="7" width="20.44140625" style="5" customWidth="1"/>
    <col min="8" max="8" width="32" style="5" customWidth="1"/>
    <col min="9" max="9" width="9.109375" style="5"/>
    <col min="10" max="10" width="11" style="5" bestFit="1" customWidth="1"/>
    <col min="11" max="16384" width="9.109375" style="5"/>
  </cols>
  <sheetData>
    <row r="1" spans="1:10" ht="84.6" customHeight="1" thickBot="1" x14ac:dyDescent="0.3">
      <c r="A1" s="271" t="s">
        <v>67</v>
      </c>
      <c r="B1" s="272"/>
      <c r="C1" s="272"/>
      <c r="D1" s="272"/>
      <c r="E1" s="272"/>
      <c r="F1" s="272"/>
      <c r="G1" s="272"/>
      <c r="H1" s="273"/>
      <c r="I1" s="159"/>
    </row>
    <row r="2" spans="1:10" ht="18" customHeight="1" thickBot="1" x14ac:dyDescent="0.3">
      <c r="A2" s="274" t="s">
        <v>33</v>
      </c>
      <c r="B2" s="275"/>
      <c r="C2" s="275"/>
      <c r="D2" s="275"/>
      <c r="E2" s="275"/>
      <c r="F2" s="275"/>
      <c r="G2" s="275"/>
      <c r="H2" s="276"/>
      <c r="I2" s="7"/>
    </row>
    <row r="3" spans="1:10" ht="12.75" customHeight="1" x14ac:dyDescent="0.25">
      <c r="A3" s="198"/>
      <c r="B3" s="28"/>
      <c r="C3" s="29"/>
      <c r="D3" s="29"/>
      <c r="E3" s="29"/>
      <c r="F3" s="29"/>
      <c r="G3" s="29"/>
      <c r="H3" s="199"/>
      <c r="I3" s="7"/>
    </row>
    <row r="4" spans="1:10" ht="17.25" customHeight="1" x14ac:dyDescent="0.25">
      <c r="A4" s="200" t="str">
        <f>'MM CALC'!A3</f>
        <v>PREFEITURA MUNICIPAL DE DIVISA ALEGRE / MG</v>
      </c>
      <c r="B4" s="166"/>
      <c r="C4" s="1"/>
      <c r="D4" s="1"/>
      <c r="E4" s="1"/>
      <c r="F4" s="1"/>
      <c r="G4" s="1"/>
      <c r="H4" s="201"/>
      <c r="I4" s="7"/>
    </row>
    <row r="5" spans="1:10" x14ac:dyDescent="0.25">
      <c r="A5" s="253" t="str">
        <f>'MM CALC'!A4</f>
        <v xml:space="preserve">OBJETO: MANUTENÇÃO DAS INSTALAÇÕES FÍSICAS DA UBS CAMACÃ DE DIVISA  ALEGRE / MG </v>
      </c>
      <c r="B5" s="254"/>
      <c r="C5" s="183" t="s">
        <v>32</v>
      </c>
      <c r="D5" s="184">
        <f>'PLAN ORÇ'!I42</f>
        <v>62653.61710000001</v>
      </c>
      <c r="E5" s="183"/>
      <c r="F5" s="183"/>
      <c r="G5" s="183"/>
      <c r="H5" s="201" t="str">
        <f>'MM CALC'!E3</f>
        <v>DATA: 23 DE MARÇO DE 2023</v>
      </c>
    </row>
    <row r="6" spans="1:10" ht="17.25" customHeight="1" x14ac:dyDescent="0.25">
      <c r="A6" s="200" t="str">
        <f>'MM CALC'!A5</f>
        <v>LOCAL:  RUA ROSENO PEREIRA SOUTO, BAIRRO CAMACÃ, DIVISA ALEGRE / MG</v>
      </c>
      <c r="B6" s="166"/>
      <c r="C6" s="1"/>
      <c r="D6" s="1"/>
      <c r="E6" s="1"/>
      <c r="F6" s="1"/>
      <c r="G6" s="1"/>
      <c r="H6" s="201"/>
      <c r="J6" s="30"/>
    </row>
    <row r="7" spans="1:10" ht="26.4" x14ac:dyDescent="0.25">
      <c r="A7" s="202" t="s">
        <v>0</v>
      </c>
      <c r="B7" s="185" t="s">
        <v>1</v>
      </c>
      <c r="C7" s="16" t="s">
        <v>21</v>
      </c>
      <c r="D7" s="16" t="s">
        <v>17</v>
      </c>
      <c r="E7" s="16" t="s">
        <v>18</v>
      </c>
      <c r="F7" s="16" t="s">
        <v>19</v>
      </c>
      <c r="G7" s="16" t="s">
        <v>31</v>
      </c>
      <c r="H7" s="203" t="s">
        <v>8</v>
      </c>
    </row>
    <row r="8" spans="1:10" x14ac:dyDescent="0.25">
      <c r="A8" s="277">
        <f>'PLAN ORÇ'!A12</f>
        <v>1</v>
      </c>
      <c r="B8" s="278" t="s">
        <v>25</v>
      </c>
      <c r="C8" s="186">
        <f>C9/$C$24</f>
        <v>1.5755655390564831E-2</v>
      </c>
      <c r="D8" s="186">
        <f>D9/$C$24</f>
        <v>1.5755655390564831E-2</v>
      </c>
      <c r="E8" s="186"/>
      <c r="F8" s="186"/>
      <c r="G8" s="186"/>
      <c r="H8" s="204">
        <f>SUM(D8:G8)</f>
        <v>1.5755655390564831E-2</v>
      </c>
    </row>
    <row r="9" spans="1:10" x14ac:dyDescent="0.25">
      <c r="A9" s="277"/>
      <c r="B9" s="278"/>
      <c r="C9" s="34">
        <f>'PLAN ORÇ'!I13</f>
        <v>987.14879999999994</v>
      </c>
      <c r="D9" s="34">
        <f>C9</f>
        <v>987.14879999999994</v>
      </c>
      <c r="E9" s="34"/>
      <c r="F9" s="34"/>
      <c r="G9" s="34"/>
      <c r="H9" s="119">
        <f>ROUND(SUM(D9:G9),2)</f>
        <v>987.15</v>
      </c>
      <c r="J9" s="9"/>
    </row>
    <row r="10" spans="1:10" x14ac:dyDescent="0.25">
      <c r="A10" s="277" t="str">
        <f>'PLAN ORÇ'!A15</f>
        <v>2.1</v>
      </c>
      <c r="B10" s="278" t="s">
        <v>39</v>
      </c>
      <c r="C10" s="186">
        <f>C11/$C$24</f>
        <v>1.795391155477279E-2</v>
      </c>
      <c r="D10" s="186">
        <f>D11/$C$24</f>
        <v>1.795391155477279E-2</v>
      </c>
      <c r="E10" s="186"/>
      <c r="F10" s="186"/>
      <c r="G10" s="186"/>
      <c r="H10" s="204">
        <f>SUM(D10:G10)</f>
        <v>1.795391155477279E-2</v>
      </c>
    </row>
    <row r="11" spans="1:10" x14ac:dyDescent="0.25">
      <c r="A11" s="277"/>
      <c r="B11" s="250"/>
      <c r="C11" s="34">
        <f>'PLAN ORÇ'!I15</f>
        <v>1124.8775000000001</v>
      </c>
      <c r="D11" s="34">
        <f>C11</f>
        <v>1124.8775000000001</v>
      </c>
      <c r="E11" s="34"/>
      <c r="F11" s="34"/>
      <c r="G11" s="34"/>
      <c r="H11" s="119">
        <f>ROUND(SUM(D11:G11),2)</f>
        <v>1124.8800000000001</v>
      </c>
      <c r="J11" s="9"/>
    </row>
    <row r="12" spans="1:10" ht="12.75" customHeight="1" x14ac:dyDescent="0.25">
      <c r="A12" s="277" t="str">
        <f>'PLAN ORÇ'!A19</f>
        <v>2.2</v>
      </c>
      <c r="B12" s="278" t="s">
        <v>26</v>
      </c>
      <c r="C12" s="186">
        <f>C13/$C$24</f>
        <v>0.96629043305466245</v>
      </c>
      <c r="D12" s="186">
        <f>D13/$C$24</f>
        <v>0.48314521652733122</v>
      </c>
      <c r="E12" s="186">
        <f>E13/$C$24</f>
        <v>0.48314521652733122</v>
      </c>
      <c r="F12" s="186"/>
      <c r="G12" s="186"/>
      <c r="H12" s="204">
        <f>SUM(D12:G12)</f>
        <v>0.96629043305466245</v>
      </c>
    </row>
    <row r="13" spans="1:10" ht="20.399999999999999" customHeight="1" x14ac:dyDescent="0.25">
      <c r="A13" s="277"/>
      <c r="B13" s="250"/>
      <c r="C13" s="34">
        <f>'PLAN ORÇ'!I19</f>
        <v>60541.590800000005</v>
      </c>
      <c r="D13" s="34">
        <f>C13/2</f>
        <v>30270.795400000003</v>
      </c>
      <c r="E13" s="34">
        <f>C13/2</f>
        <v>30270.795400000003</v>
      </c>
      <c r="F13" s="34"/>
      <c r="G13" s="34"/>
      <c r="H13" s="119">
        <f>ROUND(SUM(D13:G13),2)</f>
        <v>60541.59</v>
      </c>
      <c r="J13" s="9"/>
    </row>
    <row r="14" spans="1:10" x14ac:dyDescent="0.25">
      <c r="A14" s="219"/>
      <c r="B14" s="38"/>
      <c r="C14" s="34"/>
      <c r="D14" s="34"/>
      <c r="E14" s="34"/>
      <c r="F14" s="34"/>
      <c r="G14" s="34"/>
      <c r="H14" s="119"/>
      <c r="J14" s="9"/>
    </row>
    <row r="15" spans="1:10" ht="12.75" customHeight="1" x14ac:dyDescent="0.25">
      <c r="A15" s="277"/>
      <c r="B15" s="278"/>
      <c r="C15" s="186"/>
      <c r="D15" s="186"/>
      <c r="E15" s="186"/>
      <c r="F15" s="186"/>
      <c r="G15" s="186"/>
      <c r="H15" s="204"/>
    </row>
    <row r="16" spans="1:10" x14ac:dyDescent="0.25">
      <c r="A16" s="277"/>
      <c r="B16" s="250"/>
      <c r="C16" s="34"/>
      <c r="D16" s="34"/>
      <c r="E16" s="34"/>
      <c r="F16" s="34"/>
      <c r="G16" s="34"/>
      <c r="H16" s="119"/>
      <c r="J16" s="9"/>
    </row>
    <row r="17" spans="1:12" ht="12.75" customHeight="1" x14ac:dyDescent="0.25">
      <c r="A17" s="277"/>
      <c r="B17" s="278"/>
      <c r="C17" s="186"/>
      <c r="D17" s="186"/>
      <c r="E17" s="186"/>
      <c r="F17" s="186"/>
      <c r="G17" s="186"/>
      <c r="H17" s="204"/>
    </row>
    <row r="18" spans="1:12" x14ac:dyDescent="0.25">
      <c r="A18" s="277"/>
      <c r="B18" s="250"/>
      <c r="C18" s="34"/>
      <c r="D18" s="34"/>
      <c r="E18" s="34"/>
      <c r="F18" s="34"/>
      <c r="G18" s="34"/>
      <c r="H18" s="119"/>
      <c r="J18" s="9"/>
    </row>
    <row r="19" spans="1:12" ht="12.75" customHeight="1" x14ac:dyDescent="0.25">
      <c r="A19" s="277"/>
      <c r="B19" s="278"/>
      <c r="C19" s="186"/>
      <c r="D19" s="186"/>
      <c r="E19" s="186"/>
      <c r="F19" s="186"/>
      <c r="G19" s="186"/>
      <c r="H19" s="204"/>
    </row>
    <row r="20" spans="1:12" x14ac:dyDescent="0.25">
      <c r="A20" s="277"/>
      <c r="B20" s="250"/>
      <c r="C20" s="34"/>
      <c r="D20" s="34"/>
      <c r="E20" s="187"/>
      <c r="F20" s="34"/>
      <c r="G20" s="34"/>
      <c r="H20" s="119"/>
      <c r="J20" s="9"/>
    </row>
    <row r="21" spans="1:12" ht="13.2" customHeight="1" x14ac:dyDescent="0.25">
      <c r="A21" s="277"/>
      <c r="B21" s="278"/>
      <c r="C21" s="186"/>
      <c r="D21" s="186"/>
      <c r="E21" s="186"/>
      <c r="F21" s="186"/>
      <c r="G21" s="186"/>
      <c r="H21" s="204"/>
    </row>
    <row r="22" spans="1:12" x14ac:dyDescent="0.25">
      <c r="A22" s="277"/>
      <c r="B22" s="250"/>
      <c r="C22" s="34"/>
      <c r="D22" s="34"/>
      <c r="E22" s="188"/>
      <c r="F22" s="34"/>
      <c r="G22" s="34"/>
      <c r="H22" s="119"/>
    </row>
    <row r="23" spans="1:12" x14ac:dyDescent="0.25">
      <c r="A23" s="279" t="s">
        <v>8</v>
      </c>
      <c r="B23" s="246"/>
      <c r="C23" s="189">
        <f>C8+C10+C12+C15+C17+C21+C19</f>
        <v>1</v>
      </c>
      <c r="D23" s="189">
        <f>D8+D10+D12+D17+D21+D19</f>
        <v>0.51685478347266889</v>
      </c>
      <c r="E23" s="189">
        <f>E8+E10+E12+E15+E17+E21+E19</f>
        <v>0.48314521652733122</v>
      </c>
      <c r="F23" s="189"/>
      <c r="G23" s="189"/>
      <c r="H23" s="205">
        <f>SUM(D23:G23)</f>
        <v>1</v>
      </c>
      <c r="I23" s="158" t="e">
        <f>H21+H19+H17+H15+#REF!+H12+H10+H8</f>
        <v>#REF!</v>
      </c>
    </row>
    <row r="24" spans="1:12" x14ac:dyDescent="0.25">
      <c r="A24" s="279"/>
      <c r="B24" s="246"/>
      <c r="C24" s="190">
        <f>C9+C11+C13+C14+C16+C18+C20+C22</f>
        <v>62653.617100000003</v>
      </c>
      <c r="D24" s="190">
        <f>D9+D11+D13+D14+D18+D22+M18</f>
        <v>32382.821700000004</v>
      </c>
      <c r="E24" s="190">
        <f>E9+E11+E13+E14+E16+E18+E22+E20</f>
        <v>30270.795400000003</v>
      </c>
      <c r="F24" s="190"/>
      <c r="G24" s="190"/>
      <c r="H24" s="206">
        <f>SUM(D24:G24)</f>
        <v>62653.617100000003</v>
      </c>
    </row>
    <row r="25" spans="1:12" x14ac:dyDescent="0.25">
      <c r="A25" s="167"/>
      <c r="B25" s="207"/>
      <c r="C25" s="208"/>
      <c r="D25" s="209"/>
      <c r="E25" s="209"/>
      <c r="F25" s="209"/>
      <c r="G25" s="209"/>
      <c r="H25" s="122"/>
    </row>
    <row r="26" spans="1:12" x14ac:dyDescent="0.25">
      <c r="A26" s="167"/>
      <c r="B26" s="207"/>
      <c r="C26" s="208"/>
      <c r="D26" s="209"/>
      <c r="E26" s="209"/>
      <c r="F26" s="209"/>
      <c r="G26" s="209"/>
      <c r="H26" s="122"/>
      <c r="J26" s="9"/>
    </row>
    <row r="27" spans="1:12" ht="13.2" customHeight="1" x14ac:dyDescent="0.25">
      <c r="A27" s="210"/>
      <c r="H27" s="182"/>
    </row>
    <row r="28" spans="1:12" ht="15.6" customHeight="1" x14ac:dyDescent="0.25">
      <c r="A28" s="193"/>
      <c r="B28" s="3" t="s">
        <v>73</v>
      </c>
      <c r="C28" s="192"/>
      <c r="D28" s="3"/>
      <c r="E28" s="3" t="s">
        <v>73</v>
      </c>
      <c r="F28" s="3"/>
      <c r="G28" s="80"/>
      <c r="H28" s="175"/>
      <c r="I28" s="175"/>
      <c r="K28" s="3"/>
      <c r="L28" s="123"/>
    </row>
    <row r="29" spans="1:12" x14ac:dyDescent="0.25">
      <c r="A29" s="191"/>
      <c r="B29" s="177" t="s">
        <v>75</v>
      </c>
      <c r="C29" s="192"/>
      <c r="D29" s="177"/>
      <c r="E29" s="177" t="s">
        <v>106</v>
      </c>
      <c r="F29" s="177"/>
      <c r="G29" s="174"/>
      <c r="H29" s="175"/>
      <c r="I29" s="175"/>
      <c r="K29" s="3"/>
      <c r="L29" s="123"/>
    </row>
    <row r="30" spans="1:12" ht="13.2" customHeight="1" x14ac:dyDescent="0.25">
      <c r="A30" s="173"/>
      <c r="B30" s="3" t="s">
        <v>76</v>
      </c>
      <c r="C30" s="174"/>
      <c r="D30" s="3"/>
      <c r="E30" s="3" t="s">
        <v>74</v>
      </c>
      <c r="F30" s="3"/>
      <c r="G30" s="174"/>
      <c r="H30" s="175"/>
      <c r="I30" s="175"/>
      <c r="K30" s="3"/>
      <c r="L30" s="123"/>
    </row>
    <row r="31" spans="1:12" ht="15.6" x14ac:dyDescent="0.25">
      <c r="A31" s="210"/>
      <c r="B31" s="262"/>
      <c r="C31" s="262"/>
      <c r="D31" s="262"/>
      <c r="E31" s="262"/>
      <c r="F31" s="262"/>
      <c r="G31" s="262"/>
      <c r="H31" s="263"/>
      <c r="J31" s="9"/>
    </row>
    <row r="32" spans="1:12" x14ac:dyDescent="0.25">
      <c r="A32" s="210"/>
      <c r="C32" s="7"/>
      <c r="D32" s="7"/>
      <c r="E32" s="7"/>
      <c r="F32" s="7"/>
      <c r="G32" s="7"/>
      <c r="H32" s="180"/>
      <c r="J32" s="9"/>
    </row>
    <row r="33" spans="1:8" ht="13.8" thickBot="1" x14ac:dyDescent="0.3">
      <c r="A33" s="211"/>
      <c r="B33" s="212"/>
      <c r="C33" s="213"/>
      <c r="D33" s="213"/>
      <c r="E33" s="213"/>
      <c r="F33" s="213"/>
      <c r="G33" s="213"/>
      <c r="H33" s="214"/>
    </row>
  </sheetData>
  <mergeCells count="19">
    <mergeCell ref="B21:B22"/>
    <mergeCell ref="A19:A20"/>
    <mergeCell ref="B19:B20"/>
    <mergeCell ref="A1:H1"/>
    <mergeCell ref="B31:H31"/>
    <mergeCell ref="A5:B5"/>
    <mergeCell ref="A2:H2"/>
    <mergeCell ref="A8:A9"/>
    <mergeCell ref="B8:B9"/>
    <mergeCell ref="A23:B24"/>
    <mergeCell ref="A10:A11"/>
    <mergeCell ref="B10:B11"/>
    <mergeCell ref="A12:A13"/>
    <mergeCell ref="B12:B13"/>
    <mergeCell ref="A15:A16"/>
    <mergeCell ref="B15:B16"/>
    <mergeCell ref="A17:A18"/>
    <mergeCell ref="B17:B18"/>
    <mergeCell ref="A21:A22"/>
  </mergeCells>
  <printOptions horizontalCentered="1"/>
  <pageMargins left="0.78740157480314965" right="0.59055118110236227" top="1.5748031496062993" bottom="0.78740157480314965" header="0.31496062992125984" footer="0.31496062992125984"/>
  <pageSetup paperSize="9" scale="63" orientation="landscape" horizontalDpi="4294967292" verticalDpi="1200" r:id="rId1"/>
  <ignoredErrors>
    <ignoredError sqref="C8:H8" evalError="1"/>
    <ignoredError sqref="C10:H10 H23 H24 D9:H9 C12:D12 D11:H11 F13:H13 F12:H12" evalError="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PLAN ORÇ</vt:lpstr>
      <vt:lpstr>MM CALC</vt:lpstr>
      <vt:lpstr>CRON</vt:lpstr>
      <vt:lpstr>CRON!Area_de_impressao</vt:lpstr>
      <vt:lpstr>'MM CALC'!Area_de_impressao</vt:lpstr>
      <vt:lpstr>'PLAN ORÇ'!Area_de_impressao</vt:lpstr>
      <vt:lpstr>Fonte</vt:lpstr>
      <vt:lpstr>'MM CALC'!Titulos_de_impressao</vt:lpstr>
      <vt:lpstr>'PLAN ORÇ'!Titulos_de_impressao</vt:lpstr>
    </vt:vector>
  </TitlesOfParts>
  <Company>EMPRESARIAL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Marcos Fróis</cp:lastModifiedBy>
  <cp:lastPrinted>2023-04-11T15:14:43Z</cp:lastPrinted>
  <dcterms:created xsi:type="dcterms:W3CDTF">2010-03-02T12:32:19Z</dcterms:created>
  <dcterms:modified xsi:type="dcterms:W3CDTF">2023-05-11T16:15:28Z</dcterms:modified>
</cp:coreProperties>
</file>